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threadedComments/threadedComment2.xml" ContentType="application/vnd.ms-excel.threadedcomment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persons/person.xml" ContentType="application/vnd.ms-excel.person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3"/>
  </bookViews>
  <sheets>
    <sheet name="COLETA" sheetId="1" state="visible" r:id="rId2"/>
    <sheet name="SETORES" sheetId="2" state="visible" r:id="rId3"/>
    <sheet name="CAMINHÃO CAÇAMBA BASC." sheetId="3" state="visible" r:id="rId4"/>
    <sheet name="CAMINHÃO res." sheetId="4" state="visible" r:id="rId5"/>
    <sheet name="M.O. COLETA" sheetId="5" state="visible" r:id="rId6"/>
    <sheet name="ENCARGOS" sheetId="6" state="visible" r:id="rId7"/>
    <sheet name="EPI" sheetId="7" state="visible" r:id="rId8"/>
    <sheet name="BDI" sheetId="8" state="visible" r:id="rId9"/>
    <sheet name="RESUMO COLETA" sheetId="9" state="visible" r:id="rId10"/>
  </sheets>
  <definedNames>
    <definedName name="_xlnm.Print_Area" localSheetId="0">COLETA!$A$1:$G$39</definedName>
    <definedName name="_xlnm.Print_Area" localSheetId="1">SETORES!$A$1:$I$12</definedName>
    <definedName name="_xlnm.Print_Area" localSheetId="2">'CAMINHÃO CAÇAMBA BASC.'!$A$1:$G$53</definedName>
    <definedName name="_xlnm.Print_Area" localSheetId="3">'CAMINHÃO res.'!$A$1:$G$47</definedName>
    <definedName name="_xlnm.Print_Area" localSheetId="4">'M.O. COLETA'!$A$1:$G$113</definedName>
    <definedName name="_xlnm.Print_Area" localSheetId="5">ENCARGOS!$A$1:$C$44</definedName>
    <definedName name="_xlnm.Print_Area" localSheetId="6">EPI!$A$1:$I$25</definedName>
    <definedName name="_xlnm.Print_Area" localSheetId="7">BDI!$A$1:$F$37</definedName>
    <definedName name="_xlnm.Print_Area" localSheetId="8">'RESUMO COLETA'!$A$1:$G$12</definedName>
    <definedName name="_Fill">#REF!</definedName>
    <definedName name="_xlnm._FilterDatabase">#REF!</definedName>
    <definedName name="_Order1">255</definedName>
    <definedName name="_Order2">255</definedName>
    <definedName name="AAA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DM.SRG">BDI!$G$15</definedName>
    <definedName name="BBB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di">BDI!$D$20</definedName>
    <definedName name="BDI_LUCRO_ZERO">BDI!$G$21</definedName>
    <definedName name="Bloco">#REF!</definedName>
    <definedName name="Bloco2">#REF!</definedName>
    <definedName name="CadIns">#REF!</definedName>
    <definedName name="CadSrv">#REF!</definedName>
    <definedName name="cch">#N/A</definedName>
    <definedName name="CdQtEqA">2</definedName>
    <definedName name="CdQtEqP">2</definedName>
    <definedName name="CdQtMoA">2</definedName>
    <definedName name="CdQtMoP">2</definedName>
    <definedName name="CdQtMpA">5</definedName>
    <definedName name="CdQtMpP">5</definedName>
    <definedName name="CdQtTrA">2</definedName>
    <definedName name="CdQtTrP">2</definedName>
    <definedName name="Chave">#REF!</definedName>
    <definedName name="Chave1">#REF!</definedName>
    <definedName name="Clas">MAX(LEN(#REF!))</definedName>
    <definedName name="Cliente">""</definedName>
    <definedName name="Cls">#N/A</definedName>
    <definedName name="Cod">#REF!</definedName>
    <definedName name="Codigo">#REF!</definedName>
    <definedName name="Coluna">#REF!</definedName>
    <definedName name="Comp">#REF!</definedName>
    <definedName name="CpuAux">#REF!</definedName>
    <definedName name="CPUs">#REF!</definedName>
    <definedName name="CRIT">#REF!</definedName>
    <definedName name="_xlnm.Criteria">#REF!</definedName>
    <definedName name="CunEq">SUM(IF(#REF!=#REF!,(#REF!)*(#REF!="EQ")))</definedName>
    <definedName name="CunMo">SUM(IF(#REF!=#REF!,(#REF!)*(#REF!="MO")))</definedName>
    <definedName name="CunMp">SUM(IF(#REF!=#REF!,(#REF!)*(#REF!="MP")))</definedName>
    <definedName name="DescAux">#N/A</definedName>
    <definedName name="DESP.FIN">BDI!$G$16</definedName>
    <definedName name="DF">BDI!$F$16</definedName>
    <definedName name="dias_mes">COLETA!$B$5</definedName>
    <definedName name="DIESEL">COLETA!$B$7</definedName>
    <definedName name="EmpAux">""</definedName>
    <definedName name="encargos">ENCARGOS!$C$43</definedName>
    <definedName name="EQ">#REF!</definedName>
    <definedName name="EVOLUTION_DES_ROI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GASOLINA">COLETA!$B$6</definedName>
    <definedName name="iiii">{#N/A,#N/A,FALSE,"MATERIAIS"}</definedName>
    <definedName name="IMPOSTOS">BDI!$G$18</definedName>
    <definedName name="Insumos">#REF!</definedName>
    <definedName name="Itens">#REF!</definedName>
    <definedName name="Local">""</definedName>
    <definedName name="lucro">BDI!$F$7</definedName>
    <definedName name="MAT">{#N/A,#N/A,FALSE,"MATERIAIS"}</definedName>
    <definedName name="Max">COUNTIF(#REF!,"&lt;&gt;0")+3</definedName>
    <definedName name="MO">#REF!</definedName>
    <definedName name="Modelo">#REF!</definedName>
    <definedName name="MP">#REF!</definedName>
    <definedName name="NLEq">4</definedName>
    <definedName name="NLMo">6</definedName>
    <definedName name="NLMp">5</definedName>
    <definedName name="NLTr">3</definedName>
    <definedName name="Obra">""</definedName>
    <definedName name="OnOff">"ON"</definedName>
    <definedName name="Ordem">#REF!</definedName>
    <definedName name="Origem">#REF!</definedName>
    <definedName name="plan">{#N/A,#N/A,FALSE,"EQUIPAMENTOS"}</definedName>
    <definedName name="Plan1">#REF!</definedName>
    <definedName name="Posição">#REF!</definedName>
    <definedName name="Prd">#N/A</definedName>
    <definedName name="PrdAux">#N/A</definedName>
    <definedName name="QD">#REF!</definedName>
    <definedName name="QTD">#REF!</definedName>
    <definedName name="QtEq">#REF!</definedName>
    <definedName name="QtMo">#REF!</definedName>
    <definedName name="QtMp">#REF!</definedName>
    <definedName name="QtTr">#REF!</definedName>
    <definedName name="REAJUSTE">BDI!$B$35</definedName>
    <definedName name="Relat">#REF!</definedName>
    <definedName name="SE">#REF!</definedName>
    <definedName name="SELIC">BDI!$B$36</definedName>
    <definedName name="solve">#REF!</definedName>
    <definedName name="solver_lin">0</definedName>
    <definedName name="solver_num">0</definedName>
    <definedName name="solver_opt">#REF!</definedName>
    <definedName name="solver_tmp">#REF!</definedName>
    <definedName name="solver_typ">1</definedName>
    <definedName name="solver_val">0</definedName>
    <definedName name="SRV">#REF!</definedName>
    <definedName name="TOT">#REF!</definedName>
    <definedName name="Toto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n">#N/A</definedName>
    <definedName name="UnidAux">#N/A</definedName>
    <definedName name="wrn.COLETAS._.DE._.EQUIPAMENTOS.">{#N/A,#N/A,FALSE,"EQUIPAMENTOS"}</definedName>
    <definedName name="wrn.COLETAS._.DE._.MATERIAIS.">{#N/A,#N/A,FALSE,"SOTREQ"}</definedName>
    <definedName name="wrn.COMP._.EQUIP.">{#N/A,#N/A,FALSE,"EQUIPAMENTOS"}</definedName>
    <definedName name="wrn.COMP._.MATERIAIS.">{#N/A,#N/A,FALSE,"MATERIAIS"}</definedName>
    <definedName name="wrn.PNEUS.">{#N/A,#N/A,FALSE,"EQUIPAMENTOS"}</definedName>
    <definedName name="wrn.SOCIEDAD.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x">{#N/A,#N/A,FALSE,"EQUIPAMENTOS"}</definedName>
    <definedName name="Z_6676F9E1_BF15_11D6_97E7_0080C8432A9D_.wvu.FilterData">#REF!</definedName>
  </definedNames>
  <calcPr iterateDelta="0.0001"/>
  <extLst>
    <ext xmlns:x15="http://schemas.microsoft.com/office/spreadsheetml/2010/11/main" uri="{D0CA8CA8-9F24-4464-BF8E-62219DCF47F9}"/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tc={00B400B9-00F0-4654-912A-009900F100A4}</author>
    <author>tc={009E00A6-00D4-4B04-8BA8-00B00037002C}</author>
  </authors>
  <commentList>
    <comment ref="F16" authorId="0" xr:uid="{00B400B9-00F0-4654-912A-009900F100A4}">
      <text>
        <r>
          <rPr>
            <b/>
            <sz val="9"/>
            <rFont val="Tahoma"/>
          </rPr>
          <t xml:space="preserve">Autor desconhecido:</t>
        </r>
        <r>
          <rPr>
            <sz val="9"/>
            <rFont val="Tahoma"/>
          </rPr>
          <t xml:space="preserve">
Douglas Ribeiro:
Ideal 80 a 90%
</t>
        </r>
      </text>
    </comment>
    <comment ref="F20" authorId="1" xr:uid="{009E00A6-00D4-4B04-8BA8-00B00037002C}">
      <text>
        <r>
          <rPr>
            <b/>
            <sz val="9"/>
            <rFont val="Tahoma"/>
          </rPr>
          <t xml:space="preserve">Autor desconhecido:</t>
        </r>
        <r>
          <rPr>
            <sz val="9"/>
            <rFont val="Tahoma"/>
          </rPr>
          <t xml:space="preserve">
Douglas Ribeiro:
Ideal 50%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tc={00410066-0034-4F68-92A2-0046005400DE}</author>
    <author>tc={005C00E5-003F-4D99-A0E3-00EA009800C9}</author>
  </authors>
  <commentList>
    <comment ref="F16" authorId="0" xr:uid="{00410066-0034-4F68-92A2-0046005400DE}">
      <text>
        <r>
          <rPr>
            <b/>
            <sz val="9"/>
            <rFont val="Tahoma"/>
          </rPr>
          <t xml:space="preserve">Autor desconhecido:</t>
        </r>
        <r>
          <rPr>
            <sz val="9"/>
            <rFont val="Tahoma"/>
          </rPr>
          <t xml:space="preserve">
Douglas Ribeiro:
Ideal 80 a 90%
</t>
        </r>
      </text>
    </comment>
    <comment ref="F20" authorId="1" xr:uid="{005C00E5-003F-4D99-A0E3-00EA009800C9}">
      <text>
        <r>
          <rPr>
            <b/>
            <sz val="9"/>
            <rFont val="Tahoma"/>
          </rPr>
          <t xml:space="preserve">Autor desconhecido:</t>
        </r>
        <r>
          <rPr>
            <sz val="9"/>
            <rFont val="Tahoma"/>
          </rPr>
          <t xml:space="preserve">
Douglas Ribeiro:
Ideal 50%
</t>
        </r>
      </text>
    </comment>
  </commentList>
</comments>
</file>

<file path=xl/sharedStrings.xml><?xml version="1.0" encoding="utf-8"?>
<sst xmlns="http://schemas.openxmlformats.org/spreadsheetml/2006/main" count="318" uniqueCount="318">
  <si>
    <t xml:space="preserve">DIMENSIONAMENTO FÍSICO-FINANCEIRO
COLETA DE RESÍDUOS SÓLIDOS URBANOS DE LAGOA FORMOSA -MG</t>
  </si>
  <si>
    <t xml:space="preserve">INFORMAÇÕES BÁSICAS</t>
  </si>
  <si>
    <t xml:space="preserve">Número de dias úteis médio por ano</t>
  </si>
  <si>
    <t xml:space="preserve">Número de dias úteis médio por mês</t>
  </si>
  <si>
    <t>dias/mês</t>
  </si>
  <si>
    <t xml:space="preserve">Preço médio gasolina</t>
  </si>
  <si>
    <t xml:space="preserve">Preço médio diesel</t>
  </si>
  <si>
    <t xml:space="preserve">COLETA DE RESÍDUOS SÓLIDOS URBANO E RURAL </t>
  </si>
  <si>
    <t>População</t>
  </si>
  <si>
    <t>habitantes</t>
  </si>
  <si>
    <t xml:space="preserve">Geração de lixo per capita</t>
  </si>
  <si>
    <t>kg/hab.dia</t>
  </si>
  <si>
    <t xml:space="preserve">Peso diário</t>
  </si>
  <si>
    <t>kg/dia</t>
  </si>
  <si>
    <t xml:space="preserve">Peso mensal</t>
  </si>
  <si>
    <t>toneladas/mês</t>
  </si>
  <si>
    <t xml:space="preserve">Percurso estimado diário</t>
  </si>
  <si>
    <t>km/dia</t>
  </si>
  <si>
    <t xml:space="preserve">Percurso até o local de transbordo</t>
  </si>
  <si>
    <t>km</t>
  </si>
  <si>
    <t>km/l</t>
  </si>
  <si>
    <t xml:space="preserve">Percurso diário até o local de transbordo</t>
  </si>
  <si>
    <t xml:space="preserve">km de estrada</t>
  </si>
  <si>
    <t xml:space="preserve">Percurso estimado total (planilha anexa)</t>
  </si>
  <si>
    <t>km/mês</t>
  </si>
  <si>
    <t xml:space="preserve">Quantidade de caminhões calculado por km</t>
  </si>
  <si>
    <t>Unidade</t>
  </si>
  <si>
    <t xml:space="preserve">km estrada</t>
  </si>
  <si>
    <t xml:space="preserve">Volume da caçamba </t>
  </si>
  <si>
    <t>m³</t>
  </si>
  <si>
    <t xml:space="preserve">Densidade dos resíduos </t>
  </si>
  <si>
    <t>ton/m³</t>
  </si>
  <si>
    <t>Aproveitamento</t>
  </si>
  <si>
    <t xml:space="preserve">Peso por carga</t>
  </si>
  <si>
    <t>ton</t>
  </si>
  <si>
    <t xml:space="preserve">Quantidade de cargas por dia</t>
  </si>
  <si>
    <t xml:space="preserve">Quantidade de caminhões calculado por ton</t>
  </si>
  <si>
    <t xml:space="preserve">Percurso estimado total por caminhão</t>
  </si>
  <si>
    <t>litros</t>
  </si>
  <si>
    <t xml:space="preserve">Rendimento de combustível estrada</t>
  </si>
  <si>
    <t>km/L</t>
  </si>
  <si>
    <t xml:space="preserve">Rendimento de combustível urbano</t>
  </si>
  <si>
    <t xml:space="preserve">Rendimento de combustível ponderado</t>
  </si>
  <si>
    <t xml:space="preserve">km urbano</t>
  </si>
  <si>
    <t xml:space="preserve">EQUIPE </t>
  </si>
  <si>
    <t xml:space="preserve">4 caminhões truck caçambas basculante (diurno e noturno)</t>
  </si>
  <si>
    <t xml:space="preserve">1 caminhão reserva</t>
  </si>
  <si>
    <t xml:space="preserve">6 garis coletores</t>
  </si>
  <si>
    <t xml:space="preserve">2 garis coletores reserva</t>
  </si>
  <si>
    <t xml:space="preserve">4 motoristas</t>
  </si>
  <si>
    <t xml:space="preserve">1 motorista encarregado</t>
  </si>
  <si>
    <t>SETORIZAÇÃO</t>
  </si>
  <si>
    <t>Rota</t>
  </si>
  <si>
    <t>Setor</t>
  </si>
  <si>
    <t>Dias</t>
  </si>
  <si>
    <t xml:space="preserve">Comprimento (km)</t>
  </si>
  <si>
    <t xml:space="preserve">Periodicidade (dias/semana)</t>
  </si>
  <si>
    <t xml:space="preserve">Distância ao centro de massa do setor (km)</t>
  </si>
  <si>
    <t xml:space="preserve">Distância ao aterro (km)</t>
  </si>
  <si>
    <t xml:space="preserve">Idas ao aterro</t>
  </si>
  <si>
    <t xml:space="preserve">Percurso total (km/mês)</t>
  </si>
  <si>
    <t xml:space="preserve">Rota 01</t>
  </si>
  <si>
    <t xml:space="preserve">Setor 1</t>
  </si>
  <si>
    <t xml:space="preserve">domingo a quinta </t>
  </si>
  <si>
    <t xml:space="preserve">Rota 02</t>
  </si>
  <si>
    <t xml:space="preserve">Setor 2</t>
  </si>
  <si>
    <t xml:space="preserve">Rota 03</t>
  </si>
  <si>
    <t xml:space="preserve">Setor 3</t>
  </si>
  <si>
    <t>Distrito</t>
  </si>
  <si>
    <t xml:space="preserve">Zona rural</t>
  </si>
  <si>
    <t xml:space="preserve">segunda e quinta </t>
  </si>
  <si>
    <t xml:space="preserve">Percurso total mensal (km)</t>
  </si>
  <si>
    <t xml:space="preserve">Semanas por mês</t>
  </si>
  <si>
    <t xml:space="preserve">PLANILHA ORÇAMENTÁRIA - CAMINHÃO TRUCK CAÇAMBA BASCULANTE </t>
  </si>
  <si>
    <t xml:space="preserve">mercedes 1621</t>
  </si>
  <si>
    <t>IVECO230</t>
  </si>
  <si>
    <t xml:space="preserve">1 - COMPOSIÇÃO DE CUSTO PARA CAMINHÃO TRUCK CAÇAMBA BASCULANTE COLETOR DE RESÍDUOS -  A DIESEL </t>
  </si>
  <si>
    <t xml:space="preserve">TIPO:   </t>
  </si>
  <si>
    <t>PRÓPRIO</t>
  </si>
  <si>
    <t xml:space="preserve">PREÇOS DE AQUISIÇÃO</t>
  </si>
  <si>
    <t>MARCA</t>
  </si>
  <si>
    <t>ANO</t>
  </si>
  <si>
    <t>MODELO</t>
  </si>
  <si>
    <t xml:space="preserve">PREÇO UNITÁRIO</t>
  </si>
  <si>
    <t>REFERÊNCIA</t>
  </si>
  <si>
    <t>mercedes</t>
  </si>
  <si>
    <t>FIPE</t>
  </si>
  <si>
    <t xml:space="preserve">DEPRECIAÇÃO ANUAL</t>
  </si>
  <si>
    <t>iveco</t>
  </si>
  <si>
    <t xml:space="preserve">iveco /ectector 230</t>
  </si>
  <si>
    <t xml:space="preserve">PREÇO DE AQUISIÇÃO DO CHASSI COM CARROCERIA ADAPTADA</t>
  </si>
  <si>
    <t xml:space="preserve">horas produtivas</t>
  </si>
  <si>
    <t xml:space="preserve">((7,33h/d * 3) * 21,42 dias) +  (6h/d * 1) * 8,57 dias) </t>
  </si>
  <si>
    <t xml:space="preserve">Manutenção (K)</t>
  </si>
  <si>
    <t xml:space="preserve">horas improdutivas</t>
  </si>
  <si>
    <t xml:space="preserve">Vida útil em anos</t>
  </si>
  <si>
    <t xml:space="preserve">Percurso (km/mês)</t>
  </si>
  <si>
    <t xml:space="preserve">Total ref. 4 caminhões no mês </t>
  </si>
  <si>
    <t xml:space="preserve">Vida útil em horas</t>
  </si>
  <si>
    <t xml:space="preserve">Vel. média (km/h)</t>
  </si>
  <si>
    <t xml:space="preserve">Total ref. 1 caminhões no mês </t>
  </si>
  <si>
    <t xml:space="preserve">Taxa de juros anual</t>
  </si>
  <si>
    <t xml:space="preserve">CUSTO LUBRIF. /KM</t>
  </si>
  <si>
    <t xml:space="preserve">CUSTO LUBRIF. /HORA</t>
  </si>
  <si>
    <t xml:space="preserve">Rend. Combustível</t>
  </si>
  <si>
    <t xml:space="preserve">Fator depreciação</t>
  </si>
  <si>
    <t xml:space="preserve">Vida do jogo de pneus (km)</t>
  </si>
  <si>
    <t xml:space="preserve">CUSTO FINANCEIRO</t>
  </si>
  <si>
    <t xml:space="preserve">VR. MÉDIO INVEST</t>
  </si>
  <si>
    <t xml:space="preserve">CUSTO REAL</t>
  </si>
  <si>
    <t xml:space="preserve">1.1 - CUSTO HORÁRIO PRODUTIVO (CHP)</t>
  </si>
  <si>
    <t xml:space="preserve">CAMINHÃO TRUCK CAÇAMBA BASCULANTE </t>
  </si>
  <si>
    <t>UNIDADE</t>
  </si>
  <si>
    <t>QUANT.</t>
  </si>
  <si>
    <t>UNITÁRIO</t>
  </si>
  <si>
    <t>TOTAL</t>
  </si>
  <si>
    <t>INSUMO</t>
  </si>
  <si>
    <t>UN</t>
  </si>
  <si>
    <t xml:space="preserve">OLEO DIESEL COMBUSTIVEL COMUM (Vel.média/Rend.comb)</t>
  </si>
  <si>
    <t>L</t>
  </si>
  <si>
    <t xml:space="preserve">MATERIAL RODANTE (20000 km/jogo, 10000 km/recapagem, 1 recapagem, 6 pneus 275/80, vel.média)</t>
  </si>
  <si>
    <t>CUSTOS</t>
  </si>
  <si>
    <t xml:space="preserve">REMUNERAÇÃO DO CAPITAL (aldo matos)</t>
  </si>
  <si>
    <t xml:space="preserve">UN </t>
  </si>
  <si>
    <t xml:space="preserve">IMPOSTOS E SEGUROS (1% IPVA; DPVAT R$ 0,00; TRLAV R$ 35,18, 4% SEGURO)</t>
  </si>
  <si>
    <t>LOCAÇÃO</t>
  </si>
  <si>
    <t xml:space="preserve">TOTAL CHP</t>
  </si>
  <si>
    <t>BDI</t>
  </si>
  <si>
    <t xml:space="preserve">1.2  - CUSTO HORÁRIO IMPRODUTIVO (CHI)</t>
  </si>
  <si>
    <t xml:space="preserve">CUSTOS (1 EQUIPAMENTO)</t>
  </si>
  <si>
    <t xml:space="preserve">CAMINHÃO TRUCK - CAÇAMBA BASCULANTE</t>
  </si>
  <si>
    <t xml:space="preserve">Custo operacional</t>
  </si>
  <si>
    <t xml:space="preserve">sem BDI</t>
  </si>
  <si>
    <t xml:space="preserve">com BDI</t>
  </si>
  <si>
    <t>Combustível</t>
  </si>
  <si>
    <t>Lubrificação</t>
  </si>
  <si>
    <t>Pneumáticos</t>
  </si>
  <si>
    <t xml:space="preserve">LAVAGEM (4X MENSALMENTE)</t>
  </si>
  <si>
    <t xml:space="preserve">TOTAL CHI</t>
  </si>
  <si>
    <t xml:space="preserve">Custo financeiro</t>
  </si>
  <si>
    <t>Depreciação</t>
  </si>
  <si>
    <t xml:space="preserve">2 - CÁLCULO DO CUSTO MENSAL INDIVIDUAL DO CAMINHÃO TRUCK - CAÇAMBA BASCULANTE</t>
  </si>
  <si>
    <t>Financeiro</t>
  </si>
  <si>
    <t>DESCRIÇÃO</t>
  </si>
  <si>
    <t>UNID.</t>
  </si>
  <si>
    <t>Manutenção</t>
  </si>
  <si>
    <t xml:space="preserve">CUSTO PRODUTIVO (1 caminhão)</t>
  </si>
  <si>
    <t>EQUIP.</t>
  </si>
  <si>
    <t>Impostos/seguros</t>
  </si>
  <si>
    <t xml:space="preserve">CUSTO IMPRODUTIVO (1 caminhão)</t>
  </si>
  <si>
    <t>Locação</t>
  </si>
  <si>
    <t xml:space="preserve">CUSTO INDIVIDUAL MENSAL</t>
  </si>
  <si>
    <t xml:space="preserve">3 - CÁLCULO DO CUSTO MENSAL TOTAL DO TRUCK - CAÇAMBA BASCULANTE</t>
  </si>
  <si>
    <t xml:space="preserve">CUSTO PRODUTIVO (1 caminhões)</t>
  </si>
  <si>
    <t xml:space="preserve">CUSTO IMPRODUTIVO (1 caminhões)</t>
  </si>
  <si>
    <t xml:space="preserve">CUSTO TOTAL MENSAL</t>
  </si>
  <si>
    <t xml:space="preserve">PLANILHA ORÇAMENTÁRIA - CAMINHÃO TRUCK CAÇAMBA BASCULANTE RESERVA</t>
  </si>
  <si>
    <t xml:space="preserve">VOLKS 17280</t>
  </si>
  <si>
    <t xml:space="preserve">1 - COMPOSIÇÃO DE CUSTO PARA CAMINHÃO TRUCK CAÇAMBA BASCULANTE  A DIESEL </t>
  </si>
  <si>
    <t xml:space="preserve">mercedes 1313</t>
  </si>
  <si>
    <t xml:space="preserve">R$ 79.283,00​</t>
  </si>
  <si>
    <t>-</t>
  </si>
  <si>
    <t>Mês</t>
  </si>
  <si>
    <t xml:space="preserve">Custo oportunidade (selic+2%)</t>
  </si>
  <si>
    <t xml:space="preserve">CAMINHÃO TRUCK </t>
  </si>
  <si>
    <t xml:space="preserve">TOTAL SEM BDI 60 MESES</t>
  </si>
  <si>
    <t xml:space="preserve">CAMINHÃO COMPACTADOR</t>
  </si>
  <si>
    <t xml:space="preserve">LAVAGEM (2X MENSALMENTE)</t>
  </si>
  <si>
    <t xml:space="preserve">2 - CÁLCULO DO CUSTO MENSAL INDIVIDUAL DO CAMINHÃO CAÇAMBA BASCULANTE </t>
  </si>
  <si>
    <t xml:space="preserve">3 - CÁLCULO DO CUSTO MENSAL TOTAL DO CAMINHÃO CAÇAMBA BASCULANTE </t>
  </si>
  <si>
    <t xml:space="preserve">MÃO DE OBRA - COLETA DE RSU</t>
  </si>
  <si>
    <t xml:space="preserve">GARI COLETOR DIURNO (MG0002067/2025)</t>
  </si>
  <si>
    <t xml:space="preserve">Salário mensal</t>
  </si>
  <si>
    <t>x</t>
  </si>
  <si>
    <t>=</t>
  </si>
  <si>
    <t>Insalubridade-G.Máximo</t>
  </si>
  <si>
    <t xml:space="preserve">Hora extra 50%</t>
  </si>
  <si>
    <t xml:space="preserve">H.E Feriados</t>
  </si>
  <si>
    <t xml:space="preserve">Adicional H. Noturno</t>
  </si>
  <si>
    <t xml:space="preserve">Encargos sociais</t>
  </si>
  <si>
    <t xml:space="preserve">Salário mensal com encargos</t>
  </si>
  <si>
    <t xml:space="preserve">Vale refeição</t>
  </si>
  <si>
    <t xml:space="preserve">Cesta básica</t>
  </si>
  <si>
    <t xml:space="preserve">Cesta de gratificação férias  (1/12)</t>
  </si>
  <si>
    <t xml:space="preserve">Cesta natalina (1/12)</t>
  </si>
  <si>
    <t>PAF</t>
  </si>
  <si>
    <t xml:space="preserve">Plano de saúde</t>
  </si>
  <si>
    <t>PCMSO</t>
  </si>
  <si>
    <t xml:space="preserve">Seguro de vida</t>
  </si>
  <si>
    <t xml:space="preserve">Vale transporte (deduzido 6%)</t>
  </si>
  <si>
    <t>Uniforme</t>
  </si>
  <si>
    <t xml:space="preserve">Custo mensal unitário</t>
  </si>
  <si>
    <t xml:space="preserve">GARI COLETOR NOTURNO (MG0002067/2025)</t>
  </si>
  <si>
    <t xml:space="preserve">MOTORISTA DIURNO (MG002212/2025)</t>
  </si>
  <si>
    <t xml:space="preserve">MOTORISTA NOTURNO (MG002212/2025)</t>
  </si>
  <si>
    <t xml:space="preserve">MOTORISTA ENCARREGADO (MG002212/2025)</t>
  </si>
  <si>
    <t xml:space="preserve">Gratificação acúmulo de função</t>
  </si>
  <si>
    <t xml:space="preserve">RESUMO COLETA DE RESÍDUOS</t>
  </si>
  <si>
    <t>Função</t>
  </si>
  <si>
    <t>Qtde</t>
  </si>
  <si>
    <t xml:space="preserve">Custo Unitário</t>
  </si>
  <si>
    <t xml:space="preserve">Custo mensal</t>
  </si>
  <si>
    <t xml:space="preserve">REAJUSTADO 2025 (7,5%)</t>
  </si>
  <si>
    <t xml:space="preserve">MOTORISTA DIURNO</t>
  </si>
  <si>
    <t xml:space="preserve">MOTORISTA NOTURNO</t>
  </si>
  <si>
    <t xml:space="preserve">GARI COLETOR DIURNO </t>
  </si>
  <si>
    <t xml:space="preserve">GARI COLETOR NOTURNO </t>
  </si>
  <si>
    <t xml:space="preserve">GARI COLETOR RESERVA DIURNO</t>
  </si>
  <si>
    <t xml:space="preserve">GARI COLETOR RESERVA NOTURNO</t>
  </si>
  <si>
    <t xml:space="preserve">MOTORISTA ENCARREGADO E RESERVA</t>
  </si>
  <si>
    <t xml:space="preserve">Total mensal</t>
  </si>
  <si>
    <t xml:space="preserve">ENCARGOS SOCIAIS NO SETOR DE LIMPEZA PÚBLICA</t>
  </si>
  <si>
    <t xml:space="preserve">GRUPO A - Básico</t>
  </si>
  <si>
    <t>INSS</t>
  </si>
  <si>
    <t>FGTS</t>
  </si>
  <si>
    <t>SENAI</t>
  </si>
  <si>
    <t>SESI</t>
  </si>
  <si>
    <t>INCRA</t>
  </si>
  <si>
    <t xml:space="preserve">Salário Educação</t>
  </si>
  <si>
    <t xml:space="preserve">Seguro acidente de trabalho (RAT 3,00 x FAP 0,00)</t>
  </si>
  <si>
    <t xml:space="preserve">Contribuição Adicional por aposentadoria especial (25 anos)</t>
  </si>
  <si>
    <t>SEBRAE</t>
  </si>
  <si>
    <t xml:space="preserve">Taxa assistencial</t>
  </si>
  <si>
    <t xml:space="preserve">Sindicato patronal</t>
  </si>
  <si>
    <t xml:space="preserve">TOTAL GRUPO A</t>
  </si>
  <si>
    <t xml:space="preserve">GRUPO B - Encargos Sociais que recebem incidências do GRUPO A</t>
  </si>
  <si>
    <t xml:space="preserve">Férias (1/12x100) + (1/3/12x100) x 12/11</t>
  </si>
  <si>
    <t xml:space="preserve">13º Salário x 12/11</t>
  </si>
  <si>
    <t xml:space="preserve">Auxílio doença (15/30/12x0,0078)x100</t>
  </si>
  <si>
    <t xml:space="preserve">Faltas  justificadas (5/30/12)x100</t>
  </si>
  <si>
    <t xml:space="preserve">Faltas Legais (1/30/12)x100</t>
  </si>
  <si>
    <t xml:space="preserve">Aviso prévio traballhado (redução 7 dias) (7/30/12x100)</t>
  </si>
  <si>
    <t xml:space="preserve">Licença maternidade</t>
  </si>
  <si>
    <t xml:space="preserve">Licença paternidade (5/30/12x0,015x100)</t>
  </si>
  <si>
    <t xml:space="preserve">TOTAL GRUPO B</t>
  </si>
  <si>
    <t xml:space="preserve">GRUPO C - Encargos Sociais que não recebem incidências do GRUPO A</t>
  </si>
  <si>
    <t xml:space="preserve">Multa FGTS (1x0,40x0,08x100)</t>
  </si>
  <si>
    <t xml:space="preserve">Multa FGTS (0,05x0,40x0,08x100) - colaboradores substituídos</t>
  </si>
  <si>
    <t xml:space="preserve">Indenização Art. 9, Lei 7238/84 (1/12x0,01)x100</t>
  </si>
  <si>
    <t xml:space="preserve">Feriados (12/365x100)</t>
  </si>
  <si>
    <t xml:space="preserve">TOTAL GRUPO C</t>
  </si>
  <si>
    <t xml:space="preserve">GRUPO D - Taxas de reincidências</t>
  </si>
  <si>
    <t xml:space="preserve">Grupo A x Grupo B</t>
  </si>
  <si>
    <t xml:space="preserve">TOTAL GRUPO D</t>
  </si>
  <si>
    <t xml:space="preserve">GRUPO E - Encargos Sociais que recebem incidências do GRUPO A</t>
  </si>
  <si>
    <t xml:space="preserve">Indenização Art. 9, Lei 7238/84</t>
  </si>
  <si>
    <t xml:space="preserve">TOTAL GRUPO E</t>
  </si>
  <si>
    <t xml:space="preserve">TOTAL GERAL DE ENCARGOS SOCIAIS</t>
  </si>
  <si>
    <t xml:space="preserve">ENCARGOS SOCIAIS CONFORME ACORDÃO 6.771/09 DO TCU</t>
  </si>
  <si>
    <t xml:space="preserve">EQUIPAMENTOS DE PROTEÇÃO INDIVIDUAL</t>
  </si>
  <si>
    <t xml:space="preserve">SUPERVISOR, MOTORISTA e AFINS</t>
  </si>
  <si>
    <t>Descrição</t>
  </si>
  <si>
    <t>Quant/ano</t>
  </si>
  <si>
    <t xml:space="preserve">Preço unitário</t>
  </si>
  <si>
    <t xml:space="preserve">Preço total</t>
  </si>
  <si>
    <t>Camiseta</t>
  </si>
  <si>
    <t xml:space="preserve">Calça c/ faixa refletiva ABNT NBR 15.292</t>
  </si>
  <si>
    <t xml:space="preserve">Boné Árabe</t>
  </si>
  <si>
    <t xml:space="preserve">Calçado de segurança</t>
  </si>
  <si>
    <t xml:space="preserve">Capa de chuva de PVC</t>
  </si>
  <si>
    <t xml:space="preserve">Protetor solar FPS 30</t>
  </si>
  <si>
    <t xml:space="preserve">Custo anual</t>
  </si>
  <si>
    <t xml:space="preserve">GARI COLETOR, AUXILIAR DE SERVIÇOS GERAIS E AFINS</t>
  </si>
  <si>
    <t xml:space="preserve">Camisa c/ faixa refletiva ABNT NBR 15.292</t>
  </si>
  <si>
    <t xml:space="preserve">Capa de chuva PVC</t>
  </si>
  <si>
    <t xml:space="preserve">Luva nitrilon(par)</t>
  </si>
  <si>
    <t xml:space="preserve">Protetor Solar FPS 30</t>
  </si>
  <si>
    <t xml:space="preserve">COMPOSIÇÃO DO BDI (Bonificações e Despesas Indiretas)</t>
  </si>
  <si>
    <t xml:space="preserve">1) ADMINISTRAÇÃO CENTRAL - (3,43% a 6,71%)</t>
  </si>
  <si>
    <t xml:space="preserve">2) SEGUROS E GARANTIAS - (0,28% a 0,75%)</t>
  </si>
  <si>
    <t xml:space="preserve">3) RISCOS - (1,00% a 1,74%)</t>
  </si>
  <si>
    <t xml:space="preserve">4) DESPESAS FINANCEIRAS - (0,94% a 1,17%)</t>
  </si>
  <si>
    <t xml:space="preserve">5) LUCRO/REMUNERAÇÃO - (6,74% a 9,40%)*</t>
  </si>
  <si>
    <r>
      <rPr>
        <sz val="11"/>
        <rFont val="Calibri"/>
      </rPr>
      <t xml:space="preserve">6) IMPOSTOS </t>
    </r>
    <r>
      <rPr>
        <sz val="9"/>
        <rFont val="Calibri"/>
      </rPr>
      <t xml:space="preserve">(ISS conforme legislação tributária municipal)</t>
    </r>
    <r>
      <rPr>
        <sz val="11"/>
        <rFont val="Calibri"/>
      </rPr>
      <t>**</t>
    </r>
  </si>
  <si>
    <t xml:space="preserve">COFINS = </t>
  </si>
  <si>
    <t xml:space="preserve">PIS =</t>
  </si>
  <si>
    <t xml:space="preserve">ISS =</t>
  </si>
  <si>
    <t xml:space="preserve">** Empresas do regime lucro real deverão usar as alíquotas efetivas, média dos últimos 12 meses conforme demonstrações da escrituração a serem anexadas</t>
  </si>
  <si>
    <t>RESUMO</t>
  </si>
  <si>
    <t xml:space="preserve">Adm. Central, Seguros e Garantias, Riscos</t>
  </si>
  <si>
    <t xml:space="preserve">Despesas Financeiras</t>
  </si>
  <si>
    <t>Lucro/Remuneração</t>
  </si>
  <si>
    <t xml:space="preserve">Impostos (sem desoneração)</t>
  </si>
  <si>
    <t xml:space="preserve">BDI =</t>
  </si>
  <si>
    <t xml:space="preserve">Faixa referencial **</t>
  </si>
  <si>
    <t xml:space="preserve">1º Quartil</t>
  </si>
  <si>
    <t>Médio</t>
  </si>
  <si>
    <t xml:space="preserve">3º Quartil</t>
  </si>
  <si>
    <t xml:space="preserve">** BDIs abaixo ou acima dos quartis refernciais deverão ser justificados</t>
  </si>
  <si>
    <t>Observação:</t>
  </si>
  <si>
    <r>
      <rPr>
        <i/>
        <sz val="11"/>
        <rFont val="Calibri"/>
      </rPr>
      <t xml:space="preserve">Os parâmetros dos itens que compoem o BDI são referenciais, tomados conforme Acórdão nº 2622/2013 para obras do tipo "Construção de redes de abastecimento de água, coleta de esgoto e construções correlatas". </t>
    </r>
    <r>
      <rPr>
        <b/>
        <i/>
        <u val="single"/>
        <sz val="11"/>
        <rFont val="Calibri"/>
      </rPr>
      <t xml:space="preserve">De acordo com o Acórdão nº 2622/2013 quando a taxa de BDI estiver fora da faixa referencial (sem desoneração - 1º e 3º quartis) a empresa deverá justificar os valores adotados nos itens que compõem essa taxa</t>
    </r>
  </si>
  <si>
    <t xml:space="preserve">ENCARGOS DE FORMAÇÃO DE PREÇO</t>
  </si>
  <si>
    <t xml:space="preserve">REAJUSTE 2024/2025</t>
  </si>
  <si>
    <t>SELIC</t>
  </si>
  <si>
    <t xml:space="preserve">COLETA DE RESÍDUOS SÓLIDOS URBANOS</t>
  </si>
  <si>
    <t xml:space="preserve">PLANILHA ORÇAMENTÁRIA - RESUMO EXPANDIDO MENSAL E TOTAL</t>
  </si>
  <si>
    <t xml:space="preserve">OBRA: COLETA DE RESÍDUOS SÓLIDOS DOMICILIARES</t>
  </si>
  <si>
    <t xml:space="preserve">Ref: </t>
  </si>
  <si>
    <t xml:space="preserve">LOCAL: LAGOA FORMOSA/MG</t>
  </si>
  <si>
    <t>BDI:</t>
  </si>
  <si>
    <t>Item</t>
  </si>
  <si>
    <t xml:space="preserve">Descrição de Atividades</t>
  </si>
  <si>
    <t xml:space="preserve">Unidade </t>
  </si>
  <si>
    <t>Quantidade</t>
  </si>
  <si>
    <t xml:space="preserve">Custo direto R$/mês</t>
  </si>
  <si>
    <t xml:space="preserve">Valor mensal
com BDI
R$/mês</t>
  </si>
  <si>
    <t xml:space="preserve">Valor ANUAL do contrato
(12 meses)</t>
  </si>
  <si>
    <t xml:space="preserve">Coleta e transporte de resíduos sólidos domiciliares</t>
  </si>
  <si>
    <t>mês</t>
  </si>
  <si>
    <t>1.1</t>
  </si>
  <si>
    <t xml:space="preserve">Caminhão Truck Caçamba Basculante </t>
  </si>
  <si>
    <t>unid</t>
  </si>
  <si>
    <t>1.2</t>
  </si>
  <si>
    <t xml:space="preserve">Caminhão  reserva </t>
  </si>
  <si>
    <t>1.3</t>
  </si>
  <si>
    <t xml:space="preserve">Mão de obra</t>
  </si>
  <si>
    <t>equipe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</si>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</sst>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9">
    <numFmt numFmtId="164" formatCode="_-&quot;R$ &quot;* #,##0.00_-;&quot;-R$ &quot;* #,##0.00_-;_-&quot;R$ &quot;* \-??_-;_-@_-"/>
    <numFmt numFmtId="165" formatCode="_-* #,##0.00_-;\-* #,##0.00_-;_-* \-??_-;_-@_-"/>
    <numFmt numFmtId="166" formatCode="0.0"/>
    <numFmt numFmtId="167" formatCode="&quot;R$ &quot;#,##0.00"/>
    <numFmt numFmtId="168" formatCode="0.0%"/>
    <numFmt numFmtId="169" formatCode="_-* #,##0.00000000_-;\-* #,##0.00000000_-;_-* \-????????_-;_-@_-"/>
    <numFmt numFmtId="170" formatCode="&quot;R$ &quot;#,##0.000"/>
    <numFmt numFmtId="171" formatCode="_-* #,##0.00000000_-;\-* #,##0.00000000_-;_-* \-??_-;_-@_-"/>
    <numFmt numFmtId="172" formatCode="_(&quot;R$&quot;* #,##0.00_);_(&quot;R$&quot;* \(#,##0.00\);_(&quot;R$&quot;* \-??_);_(@_)"/>
    <numFmt numFmtId="173" formatCode="&quot;R$ &quot;#,##0.00\ "/>
    <numFmt numFmtId="174" formatCode="#,##0.0&quot; h&quot;"/>
    <numFmt numFmtId="175" formatCode="0.0000"/>
    <numFmt numFmtId="176" formatCode="#,##0&quot; conj&quot;"/>
    <numFmt numFmtId="177" formatCode="#,##0.00&quot; h&quot;"/>
    <numFmt numFmtId="178" formatCode="_-&quot;R$&quot;* #,##0.00_-;&quot;-R$&quot;* #,##0.00_-;_-&quot;R$&quot;* \-??_-;_-@_-"/>
    <numFmt numFmtId="179" formatCode="0\)"/>
    <numFmt numFmtId="180" formatCode="_(* #,##0.0000_);_(* \(#,##0.0000\);_(* \-??_);_(@_)"/>
    <numFmt numFmtId="181" formatCode="_-* #,##0.0000_-;\-* #,##0.0000_-;_-* \-????_-;_-@_-"/>
    <numFmt numFmtId="182" formatCode="0.0000%"/>
  </numFmts>
  <fonts count="39">
    <font>
      <sz val="11.000000"/>
      <color theme="1"/>
      <name val="Aptos Narrow"/>
    </font>
    <font>
      <sz val="11.000000"/>
      <name val="Calibri"/>
    </font>
    <font>
      <sz val="10.000000"/>
      <name val="Arial"/>
    </font>
    <font>
      <sz val="10.000000"/>
      <color theme="1"/>
      <name val="Aptos Narrow"/>
    </font>
    <font>
      <sz val="11.000000"/>
      <color indexed="65"/>
      <name val="Calibri"/>
    </font>
    <font>
      <sz val="10.000000"/>
      <name val="Aptos Narrow"/>
    </font>
    <font>
      <b/>
      <sz val="16.000000"/>
      <name val="Aptos Narrow"/>
    </font>
    <font>
      <b/>
      <sz val="12.000000"/>
      <name val="Aptos Narrow"/>
    </font>
    <font>
      <sz val="12.000000"/>
      <name val="Aptos Narrow"/>
    </font>
    <font>
      <sz val="11.000000"/>
      <name val="Aptos Narrow"/>
    </font>
    <font>
      <b/>
      <sz val="14.000000"/>
      <name val="Aptos Narrow"/>
    </font>
    <font>
      <b/>
      <sz val="11.000000"/>
      <color theme="1"/>
      <name val="Aptos Narrow"/>
    </font>
    <font>
      <sz val="11.000000"/>
      <color theme="1" tint="0.049897762993255407"/>
      <name val="Aptos Narrow"/>
    </font>
    <font>
      <sz val="10.000000"/>
      <color theme="1" tint="0.049897762993255407"/>
      <name val="Aptos Narrow"/>
    </font>
    <font>
      <b/>
      <sz val="11.000000"/>
      <name val="Aptos Narrow"/>
    </font>
    <font>
      <b/>
      <sz val="10.000000"/>
      <name val="Aptos Narrow"/>
    </font>
    <font>
      <b/>
      <sz val="18.000000"/>
      <name val="Calibri"/>
    </font>
    <font>
      <sz val="18.000000"/>
      <name val="Calibri"/>
    </font>
    <font>
      <b/>
      <sz val="11.000000"/>
      <color indexed="2"/>
      <name val="Calibri"/>
    </font>
    <font>
      <b/>
      <sz val="11.000000"/>
      <name val="Calibri"/>
    </font>
    <font>
      <b/>
      <sz val="14.000000"/>
      <name val="Open Sans"/>
    </font>
    <font>
      <b/>
      <sz val="14.000000"/>
      <name val="Calibri"/>
    </font>
    <font>
      <b/>
      <sz val="12.000000"/>
      <color theme="1"/>
      <name val="Aptos Narrow"/>
    </font>
    <font>
      <b/>
      <sz val="14.000000"/>
      <color theme="1"/>
      <name val="Aptos Narrow"/>
    </font>
    <font>
      <b/>
      <sz val="16.000000"/>
      <name val="Calibri"/>
    </font>
    <font>
      <b/>
      <sz val="12.000000"/>
      <name val="Calibri"/>
    </font>
    <font>
      <sz val="10.000000"/>
      <name val="Calibri"/>
    </font>
    <font>
      <b/>
      <i/>
      <sz val="9.000000"/>
      <name val="Calibri"/>
    </font>
    <font>
      <b/>
      <sz val="10.000000"/>
      <name val="Calibri"/>
    </font>
    <font>
      <b/>
      <sz val="18.000000"/>
      <name val="Aptos Narrow"/>
    </font>
    <font>
      <sz val="18.000000"/>
      <name val="Aptos Narrow"/>
    </font>
    <font>
      <b/>
      <sz val="10.000000"/>
      <name val="Arial"/>
    </font>
    <font>
      <sz val="9.000000"/>
      <name val="Calibri"/>
    </font>
    <font>
      <b/>
      <sz val="24.000000"/>
      <name val="Calibri"/>
    </font>
    <font>
      <b/>
      <sz val="20.000000"/>
      <name val="Calibri"/>
    </font>
    <font>
      <i/>
      <sz val="11.000000"/>
      <name val="Calibri"/>
    </font>
    <font>
      <b/>
      <sz val="15.000000"/>
      <name val="Aptos Narrow"/>
    </font>
    <font>
      <sz val="12.000000"/>
      <color theme="1"/>
      <name val="Aptos Narrow"/>
    </font>
    <font>
      <b/>
      <sz val="16.000000"/>
      <color rgb="FF00B050"/>
      <name val="Aptos Narrow"/>
    </font>
  </fonts>
  <fills count="18">
    <fill>
      <patternFill patternType="none"/>
    </fill>
    <fill>
      <patternFill patternType="gray125"/>
    </fill>
    <fill>
      <patternFill patternType="solid">
        <fgColor indexed="2"/>
        <bgColor indexed="6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</patternFill>
    </fill>
    <fill>
      <patternFill patternType="solid">
        <fgColor theme="0"/>
        <bgColor indexed="5"/>
      </patternFill>
    </fill>
    <fill>
      <patternFill patternType="solid">
        <fgColor theme="0"/>
        <bgColor rgb="FF8ED973"/>
      </patternFill>
    </fill>
    <fill>
      <patternFill patternType="solid">
        <fgColor rgb="FF00B0F0"/>
        <bgColor rgb="FF00B0F0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rgb="FFFFC000"/>
        <bgColor rgb="FFFFC000"/>
      </patternFill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theme="0" tint="0"/>
        <bgColor theme="0" tint="0"/>
      </patternFill>
    </fill>
    <fill>
      <patternFill patternType="solid">
        <fgColor rgb="FFBFBFBF"/>
        <bgColor indexed="2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0"/>
      </patternFill>
    </fill>
  </fills>
  <borders count="66">
    <border>
      <left style="none"/>
      <right style="none"/>
      <top style="none"/>
      <bottom style="none"/>
      <diagonal style="none"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theme="1"/>
      </left>
      <right style="none"/>
      <top style="none"/>
      <bottom style="thin">
        <color auto="1"/>
      </bottom>
      <diagonal style="none"/>
    </border>
    <border>
      <left style="none"/>
      <right style="thin">
        <color theme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none"/>
      <top style="medium">
        <color auto="1"/>
      </top>
      <bottom style="none"/>
      <diagonal style="none"/>
    </border>
    <border>
      <left style="none"/>
      <right style="thin">
        <color theme="1"/>
      </right>
      <top style="medium">
        <color auto="1"/>
      </top>
      <bottom style="none"/>
      <diagonal style="none"/>
    </border>
    <border>
      <left style="thin">
        <color theme="1"/>
      </left>
      <right style="none"/>
      <top style="none"/>
      <bottom style="medium">
        <color auto="1"/>
      </bottom>
      <diagonal style="none"/>
    </border>
    <border>
      <left style="none"/>
      <right style="thin">
        <color theme="1"/>
      </right>
      <top style="none"/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</borders>
  <cellStyleXfs count="17">
    <xf fontId="0" fillId="0" borderId="0" numFmtId="0" applyNumberFormat="1" applyFont="1" applyFill="1" applyBorder="1"/>
    <xf fontId="0" fillId="0" borderId="0" numFmtId="164" applyNumberFormat="1" applyFont="1" applyFill="1" applyBorder="0" applyProtection="0"/>
    <xf fontId="0" fillId="0" borderId="0" numFmtId="164" applyNumberFormat="1" applyFont="1" applyFill="1" applyBorder="0" applyProtection="0"/>
    <xf fontId="0" fillId="0" borderId="0" numFmtId="164" applyNumberFormat="1" applyFont="1" applyFill="1" applyBorder="0" applyProtection="0"/>
    <xf fontId="1" fillId="0" borderId="0" numFmtId="0" applyNumberFormat="1" applyFont="1" applyFill="1" applyBorder="1"/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9" applyNumberFormat="1" applyFont="1" applyFill="1" applyBorder="0" applyProtection="0"/>
    <xf fontId="1" fillId="0" borderId="0" numFmtId="9" applyNumberFormat="1" applyFont="1" applyFill="1" applyBorder="0" applyProtection="0"/>
    <xf fontId="0" fillId="0" borderId="0" numFmtId="9" applyNumberFormat="1" applyFont="1" applyFill="1" applyBorder="0" applyProtection="0"/>
    <xf fontId="0" fillId="0" borderId="0" numFmtId="9" applyNumberFormat="1" applyFont="1" applyFill="1" applyBorder="0" applyProtection="0"/>
    <xf fontId="4" fillId="2" borderId="0" numFmtId="0" applyNumberFormat="1" applyFont="1" applyFill="1" applyBorder="0" applyProtection="0"/>
    <xf fontId="0" fillId="0" borderId="0" numFmtId="165" applyNumberFormat="1" applyFont="1" applyFill="1" applyBorder="0" applyProtection="0"/>
    <xf fontId="1" fillId="0" borderId="0" numFmtId="165" applyNumberFormat="1" applyFont="1" applyFill="1" applyBorder="0" applyProtection="0"/>
  </cellStyleXfs>
  <cellXfs count="538">
    <xf fontId="0" fillId="0" borderId="0" numFmtId="0" xfId="0"/>
    <xf fontId="5" fillId="0" borderId="0" numFmtId="0" xfId="7" applyFont="1"/>
    <xf fontId="5" fillId="0" borderId="0" numFmtId="166" xfId="7" applyNumberFormat="1" applyFont="1" applyAlignment="1">
      <alignment horizontal="center"/>
    </xf>
    <xf fontId="6" fillId="3" borderId="1" numFmtId="0" xfId="5" applyFont="1" applyFill="1" applyBorder="1" applyAlignment="1">
      <alignment horizontal="center" wrapText="1"/>
    </xf>
    <xf fontId="6" fillId="3" borderId="2" numFmtId="0" xfId="5" applyFont="1" applyFill="1" applyBorder="1" applyAlignment="1">
      <alignment horizontal="center" wrapText="1"/>
    </xf>
    <xf fontId="6" fillId="3" borderId="3" numFmtId="0" xfId="5" applyFont="1" applyFill="1" applyBorder="1" applyAlignment="1">
      <alignment horizontal="center" wrapText="1"/>
    </xf>
    <xf fontId="7" fillId="4" borderId="4" numFmtId="0" xfId="5" applyFont="1" applyFill="1" applyBorder="1" applyAlignment="1">
      <alignment horizontal="center"/>
    </xf>
    <xf fontId="7" fillId="4" borderId="5" numFmtId="0" xfId="5" applyFont="1" applyFill="1" applyBorder="1" applyAlignment="1">
      <alignment horizontal="center"/>
    </xf>
    <xf fontId="7" fillId="4" borderId="6" numFmtId="0" xfId="5" applyFont="1" applyFill="1" applyBorder="1" applyAlignment="1">
      <alignment horizontal="center"/>
    </xf>
    <xf fontId="8" fillId="5" borderId="7" numFmtId="4" xfId="5" applyNumberFormat="1" applyFont="1" applyFill="1" applyBorder="1" applyAlignment="1">
      <alignment horizontal="center" vertical="center" wrapText="1"/>
    </xf>
    <xf fontId="8" fillId="5" borderId="0" numFmtId="2" xfId="5" applyNumberFormat="1" applyFont="1" applyFill="1" applyAlignment="1">
      <alignment horizontal="center" vertical="center" wrapText="1"/>
    </xf>
    <xf fontId="8" fillId="5" borderId="0" numFmtId="4" xfId="5" applyNumberFormat="1" applyFont="1" applyFill="1" applyAlignment="1">
      <alignment horizontal="center" vertical="center" wrapText="1"/>
    </xf>
    <xf fontId="8" fillId="0" borderId="0" numFmtId="4" xfId="5" applyNumberFormat="1" applyFont="1" applyAlignment="1">
      <alignment horizontal="center" vertical="center" wrapText="1"/>
    </xf>
    <xf fontId="5" fillId="0" borderId="8" numFmtId="0" xfId="7" applyFont="1" applyBorder="1"/>
    <xf fontId="9" fillId="5" borderId="7" numFmtId="0" xfId="7" applyFont="1" applyFill="1" applyBorder="1"/>
    <xf fontId="5" fillId="6" borderId="0" numFmtId="2" xfId="7" applyNumberFormat="1" applyFont="1" applyFill="1" applyAlignment="1" applyProtection="1">
      <alignment horizontal="center"/>
      <protection locked="0"/>
    </xf>
    <xf fontId="5" fillId="5" borderId="0" numFmtId="0" xfId="7" applyFont="1" applyFill="1"/>
    <xf fontId="5" fillId="5" borderId="0" numFmtId="2" xfId="7" applyNumberFormat="1" applyFont="1" applyFill="1" applyAlignment="1">
      <alignment horizontal="center"/>
    </xf>
    <xf fontId="0" fillId="5" borderId="7" numFmtId="0" xfId="7" applyFill="1" applyBorder="1"/>
    <xf fontId="3" fillId="6" borderId="0" numFmtId="164" xfId="2" applyNumberFormat="1" applyFont="1" applyFill="1" applyAlignment="1" applyProtection="1">
      <alignment horizontal="center"/>
      <protection locked="0"/>
    </xf>
    <xf fontId="3" fillId="5" borderId="0" numFmtId="0" xfId="5" applyFont="1" applyFill="1"/>
    <xf fontId="10" fillId="5" borderId="7" numFmtId="0" xfId="7" applyFont="1" applyFill="1" applyBorder="1"/>
    <xf fontId="0" fillId="5" borderId="0" numFmtId="0" xfId="5" applyFill="1" applyAlignment="1">
      <alignment horizontal="center"/>
    </xf>
    <xf fontId="0" fillId="5" borderId="0" numFmtId="0" xfId="5" applyFill="1"/>
    <xf fontId="11" fillId="4" borderId="9" numFmtId="0" xfId="5" applyFont="1" applyFill="1" applyBorder="1" applyAlignment="1">
      <alignment horizontal="center"/>
    </xf>
    <xf fontId="11" fillId="4" borderId="10" numFmtId="0" xfId="5" applyFont="1" applyFill="1" applyBorder="1" applyAlignment="1">
      <alignment horizontal="center"/>
    </xf>
    <xf fontId="11" fillId="4" borderId="11" numFmtId="0" xfId="5" applyFont="1" applyFill="1" applyBorder="1" applyAlignment="1">
      <alignment horizontal="center"/>
    </xf>
    <xf fontId="10" fillId="0" borderId="0" numFmtId="0" xfId="7" applyFont="1"/>
    <xf fontId="5" fillId="5" borderId="0" numFmtId="3" xfId="7" applyNumberFormat="1" applyFont="1" applyFill="1" applyAlignment="1">
      <alignment horizontal="center"/>
    </xf>
    <xf fontId="5" fillId="5" borderId="0" numFmtId="1" xfId="7" applyNumberFormat="1" applyFont="1" applyFill="1" applyAlignment="1">
      <alignment horizontal="center"/>
    </xf>
    <xf fontId="5" fillId="6" borderId="0" numFmtId="166" xfId="7" applyNumberFormat="1" applyFont="1" applyFill="1" applyAlignment="1">
      <alignment horizontal="center"/>
    </xf>
    <xf fontId="0" fillId="0" borderId="0" numFmtId="0" xfId="7"/>
    <xf fontId="5" fillId="0" borderId="0" numFmtId="0" xfId="7" applyFont="1" applyAlignment="1">
      <alignment horizontal="center"/>
    </xf>
    <xf fontId="5" fillId="5" borderId="0" numFmtId="166" xfId="7" applyNumberFormat="1" applyFont="1" applyFill="1" applyAlignment="1">
      <alignment horizontal="center"/>
    </xf>
    <xf fontId="3" fillId="5" borderId="0" numFmtId="166" xfId="7" applyNumberFormat="1" applyFont="1" applyFill="1" applyAlignment="1">
      <alignment horizontal="center"/>
    </xf>
    <xf fontId="0" fillId="5" borderId="0" numFmtId="0" xfId="7" applyFill="1"/>
    <xf fontId="12" fillId="5" borderId="7" numFmtId="0" xfId="7" applyFont="1" applyFill="1" applyBorder="1"/>
    <xf fontId="13" fillId="6" borderId="0" numFmtId="2" xfId="7" applyNumberFormat="1" applyFont="1" applyFill="1" applyAlignment="1">
      <alignment horizontal="center"/>
    </xf>
    <xf fontId="13" fillId="5" borderId="0" numFmtId="0" xfId="7" applyFont="1" applyFill="1" applyAlignment="1">
      <alignment horizontal="left"/>
    </xf>
    <xf fontId="5" fillId="0" borderId="8" numFmtId="0" xfId="7" applyFont="1" applyBorder="1" applyAlignment="1">
      <alignment horizontal="center"/>
    </xf>
    <xf fontId="13" fillId="5" borderId="0" numFmtId="2" xfId="7" applyNumberFormat="1" applyFont="1" applyFill="1" applyAlignment="1">
      <alignment horizontal="center"/>
    </xf>
    <xf fontId="3" fillId="7" borderId="0" numFmtId="166" xfId="7" applyNumberFormat="1" applyFont="1" applyFill="1" applyAlignment="1">
      <alignment horizontal="center"/>
    </xf>
    <xf fontId="5" fillId="5" borderId="0" numFmtId="9" xfId="12" applyNumberFormat="1" applyFont="1" applyFill="1" applyAlignment="1" applyProtection="1">
      <alignment horizontal="center"/>
    </xf>
    <xf fontId="13" fillId="6" borderId="0" numFmtId="166" xfId="7" applyNumberFormat="1" applyFont="1" applyFill="1" applyAlignment="1">
      <alignment horizontal="center"/>
    </xf>
    <xf fontId="13" fillId="6" borderId="0" numFmtId="2" xfId="7" applyNumberFormat="1" applyFont="1" applyFill="1" applyAlignment="1" applyProtection="1">
      <alignment horizontal="center"/>
      <protection locked="0"/>
    </xf>
    <xf fontId="5" fillId="0" borderId="0" numFmtId="166" xfId="7" applyNumberFormat="1" applyFont="1"/>
    <xf fontId="5" fillId="0" borderId="0" numFmtId="2" xfId="7" applyNumberFormat="1" applyFont="1"/>
    <xf fontId="5" fillId="0" borderId="7" numFmtId="0" xfId="7" applyFont="1" applyBorder="1"/>
    <xf fontId="0" fillId="0" borderId="7" numFmtId="0" xfId="7" applyBorder="1"/>
    <xf fontId="0" fillId="0" borderId="0" numFmtId="0" xfId="7" applyAlignment="1">
      <alignment horizontal="left"/>
    </xf>
    <xf fontId="14" fillId="4" borderId="9" numFmtId="0" xfId="7" applyFont="1" applyFill="1" applyBorder="1" applyAlignment="1">
      <alignment horizontal="center"/>
    </xf>
    <xf fontId="14" fillId="4" borderId="10" numFmtId="0" xfId="7" applyFont="1" applyFill="1" applyBorder="1" applyAlignment="1">
      <alignment horizontal="center"/>
    </xf>
    <xf fontId="14" fillId="4" borderId="11" numFmtId="0" xfId="7" applyFont="1" applyFill="1" applyBorder="1" applyAlignment="1">
      <alignment horizontal="center"/>
    </xf>
    <xf fontId="0" fillId="0" borderId="7" numFmtId="0" xfId="7" applyBorder="1" applyAlignment="1">
      <alignment horizontal="left"/>
    </xf>
    <xf fontId="0" fillId="0" borderId="12" numFmtId="0" xfId="5" applyBorder="1"/>
    <xf fontId="5" fillId="0" borderId="13" numFmtId="166" xfId="7" applyNumberFormat="1" applyFont="1" applyBorder="1" applyAlignment="1">
      <alignment horizontal="center"/>
    </xf>
    <xf fontId="5" fillId="0" borderId="13" numFmtId="0" xfId="7" applyFont="1" applyBorder="1"/>
    <xf fontId="5" fillId="0" borderId="14" numFmtId="0" xfId="7" applyFont="1" applyBorder="1"/>
    <xf fontId="0" fillId="0" borderId="0" numFmtId="0" xfId="5"/>
    <xf fontId="9" fillId="0" borderId="0" numFmtId="0" xfId="7" applyFont="1"/>
    <xf fontId="9" fillId="0" borderId="0" numFmtId="166" xfId="7" applyNumberFormat="1" applyFont="1" applyAlignment="1">
      <alignment horizontal="center"/>
    </xf>
    <xf fontId="9" fillId="0" borderId="0" numFmtId="0" xfId="7" applyFont="1" applyAlignment="1">
      <alignment horizontal="center"/>
    </xf>
    <xf fontId="6" fillId="4" borderId="1" numFmtId="0" xfId="5" applyFont="1" applyFill="1" applyBorder="1" applyAlignment="1">
      <alignment horizontal="center" wrapText="1"/>
    </xf>
    <xf fontId="6" fillId="4" borderId="2" numFmtId="0" xfId="5" applyFont="1" applyFill="1" applyBorder="1" applyAlignment="1">
      <alignment horizontal="center" wrapText="1"/>
    </xf>
    <xf fontId="6" fillId="4" borderId="3" numFmtId="0" xfId="5" applyFont="1" applyFill="1" applyBorder="1" applyAlignment="1">
      <alignment horizontal="center" wrapText="1"/>
    </xf>
    <xf fontId="14" fillId="0" borderId="7" numFmtId="0" xfId="5" applyFont="1" applyBorder="1" applyAlignment="1">
      <alignment horizontal="center"/>
    </xf>
    <xf fontId="14" fillId="0" borderId="0" numFmtId="0" xfId="5" applyFont="1" applyAlignment="1">
      <alignment horizontal="center"/>
    </xf>
    <xf fontId="7" fillId="0" borderId="8" numFmtId="0" xfId="5" applyFont="1" applyBorder="1" applyAlignment="1">
      <alignment horizontal="center"/>
    </xf>
    <xf fontId="9" fillId="0" borderId="15" numFmtId="4" xfId="5" applyNumberFormat="1" applyFont="1" applyBorder="1" applyAlignment="1">
      <alignment horizontal="center" vertical="center" wrapText="1"/>
    </xf>
    <xf fontId="9" fillId="0" borderId="16" numFmtId="2" xfId="5" applyNumberFormat="1" applyFont="1" applyBorder="1" applyAlignment="1">
      <alignment horizontal="center" vertical="center" wrapText="1"/>
    </xf>
    <xf fontId="9" fillId="0" borderId="16" numFmtId="4" xfId="5" applyNumberFormat="1" applyFont="1" applyBorder="1" applyAlignment="1">
      <alignment horizontal="center" vertical="center" wrapText="1"/>
    </xf>
    <xf fontId="0" fillId="0" borderId="16" numFmtId="4" xfId="5" applyNumberFormat="1" applyBorder="1" applyAlignment="1">
      <alignment horizontal="center" vertical="center" wrapText="1"/>
    </xf>
    <xf fontId="0" fillId="0" borderId="16" numFmtId="0" xfId="7" applyBorder="1" applyAlignment="1">
      <alignment horizontal="center" vertical="center" wrapText="1"/>
    </xf>
    <xf fontId="9" fillId="0" borderId="17" numFmtId="0" xfId="7" applyFont="1" applyBorder="1" applyAlignment="1">
      <alignment horizontal="center" vertical="center" wrapText="1"/>
    </xf>
    <xf fontId="0" fillId="8" borderId="15" numFmtId="0" xfId="7" applyFill="1" applyBorder="1" applyAlignment="1">
      <alignment horizontal="center"/>
    </xf>
    <xf fontId="0" fillId="8" borderId="16" numFmtId="2" xfId="7" applyNumberFormat="1" applyFill="1" applyBorder="1" applyAlignment="1" applyProtection="1">
      <alignment horizontal="center"/>
      <protection locked="0"/>
    </xf>
    <xf fontId="0" fillId="8" borderId="16" numFmtId="0" xfId="7" applyFill="1" applyBorder="1" applyAlignment="1">
      <alignment horizontal="center"/>
    </xf>
    <xf fontId="3" fillId="8" borderId="17" numFmtId="166" xfId="7" applyNumberFormat="1" applyFont="1" applyFill="1" applyBorder="1" applyAlignment="1">
      <alignment horizontal="center"/>
    </xf>
    <xf fontId="0" fillId="9" borderId="15" numFmtId="0" xfId="7" applyFill="1" applyBorder="1" applyAlignment="1">
      <alignment horizontal="center"/>
    </xf>
    <xf fontId="0" fillId="9" borderId="16" numFmtId="164" xfId="2" applyNumberFormat="1" applyFill="1" applyBorder="1" applyAlignment="1" applyProtection="1">
      <alignment horizontal="center"/>
      <protection locked="0"/>
    </xf>
    <xf fontId="0" fillId="9" borderId="16" numFmtId="0" xfId="7" applyFill="1" applyBorder="1" applyAlignment="1">
      <alignment horizontal="center"/>
    </xf>
    <xf fontId="3" fillId="9" borderId="17" numFmtId="166" xfId="7" applyNumberFormat="1" applyFont="1" applyFill="1" applyBorder="1" applyAlignment="1">
      <alignment horizontal="center"/>
    </xf>
    <xf fontId="0" fillId="10" borderId="15" numFmtId="0" xfId="7" applyFill="1" applyBorder="1" applyAlignment="1">
      <alignment horizontal="center"/>
    </xf>
    <xf fontId="0" fillId="10" borderId="16" numFmtId="2" xfId="7" applyNumberFormat="1" applyFill="1" applyBorder="1" applyAlignment="1">
      <alignment horizontal="center"/>
    </xf>
    <xf fontId="0" fillId="10" borderId="16" numFmtId="0" xfId="7" applyFill="1" applyBorder="1" applyAlignment="1">
      <alignment horizontal="center"/>
    </xf>
    <xf fontId="0" fillId="10" borderId="16" numFmtId="0" xfId="5" applyFill="1" applyBorder="1" applyAlignment="1">
      <alignment horizontal="center"/>
    </xf>
    <xf fontId="3" fillId="10" borderId="17" numFmtId="166" xfId="7" applyNumberFormat="1" applyFont="1" applyFill="1" applyBorder="1" applyAlignment="1">
      <alignment horizontal="center"/>
    </xf>
    <xf fontId="0" fillId="0" borderId="15" numFmtId="0" xfId="7" applyBorder="1" applyAlignment="1">
      <alignment horizontal="center"/>
    </xf>
    <xf fontId="0" fillId="0" borderId="16" numFmtId="2" xfId="7" applyNumberFormat="1" applyBorder="1" applyAlignment="1">
      <alignment horizontal="center"/>
    </xf>
    <xf fontId="0" fillId="0" borderId="16" numFmtId="0" xfId="7" applyBorder="1" applyAlignment="1">
      <alignment horizontal="center"/>
    </xf>
    <xf fontId="0" fillId="0" borderId="16" numFmtId="0" xfId="5" applyBorder="1" applyAlignment="1">
      <alignment horizontal="center"/>
    </xf>
    <xf fontId="3" fillId="0" borderId="17" numFmtId="166" xfId="7" applyNumberFormat="1" applyFont="1" applyBorder="1" applyAlignment="1">
      <alignment horizontal="center"/>
    </xf>
    <xf fontId="11" fillId="0" borderId="18" numFmtId="0" xfId="0" applyFont="1" applyBorder="1" applyAlignment="1">
      <alignment horizontal="right" indent="1" vertical="center"/>
    </xf>
    <xf fontId="11" fillId="0" borderId="19" numFmtId="0" xfId="0" applyFont="1" applyBorder="1" applyAlignment="1">
      <alignment horizontal="right" indent="1" vertical="center"/>
    </xf>
    <xf fontId="11" fillId="0" borderId="20" numFmtId="166" xfId="7" applyNumberFormat="1" applyFont="1" applyBorder="1" applyAlignment="1">
      <alignment horizontal="center" vertical="center"/>
    </xf>
    <xf fontId="11" fillId="0" borderId="0" numFmtId="0" xfId="0" applyFont="1" applyAlignment="1">
      <alignment horizontal="right"/>
    </xf>
    <xf fontId="15" fillId="0" borderId="0" numFmtId="166" xfId="7" applyNumberFormat="1" applyFont="1" applyAlignment="1">
      <alignment horizontal="center"/>
    </xf>
    <xf fontId="0" fillId="0" borderId="0" numFmtId="0" xfId="0"/>
    <xf fontId="0" fillId="0" borderId="0" numFmtId="0" xfId="0" applyAlignment="1">
      <alignment horizontal="center"/>
    </xf>
    <xf fontId="1" fillId="0" borderId="0" numFmtId="0" xfId="6" applyFont="1"/>
    <xf fontId="1" fillId="0" borderId="0" numFmtId="0" xfId="6" applyFont="1" applyAlignment="1">
      <alignment horizontal="center"/>
    </xf>
    <xf fontId="16" fillId="4" borderId="1" numFmtId="4" xfId="6" applyNumberFormat="1" applyFont="1" applyFill="1" applyBorder="1" applyAlignment="1">
      <alignment horizontal="center" vertical="center"/>
    </xf>
    <xf fontId="16" fillId="4" borderId="2" numFmtId="4" xfId="6" applyNumberFormat="1" applyFont="1" applyFill="1" applyBorder="1" applyAlignment="1">
      <alignment horizontal="center" vertical="center"/>
    </xf>
    <xf fontId="16" fillId="4" borderId="3" numFmtId="4" xfId="6" applyNumberFormat="1" applyFont="1" applyFill="1" applyBorder="1" applyAlignment="1">
      <alignment horizontal="center" vertical="center"/>
    </xf>
    <xf fontId="17" fillId="11" borderId="7" numFmtId="4" xfId="6" applyNumberFormat="1" applyFont="1" applyFill="1" applyBorder="1" applyAlignment="1">
      <alignment horizontal="center" vertical="center"/>
    </xf>
    <xf fontId="17" fillId="11" borderId="0" numFmtId="4" xfId="6" applyNumberFormat="1" applyFont="1" applyFill="1" applyAlignment="1">
      <alignment horizontal="center" vertical="center"/>
    </xf>
    <xf fontId="17" fillId="11" borderId="8" numFmtId="4" xfId="6" applyNumberFormat="1" applyFont="1" applyFill="1" applyBorder="1" applyAlignment="1">
      <alignment horizontal="center" vertical="center"/>
    </xf>
    <xf fontId="1" fillId="0" borderId="7" numFmtId="0" xfId="6" applyFont="1" applyBorder="1"/>
    <xf fontId="1" fillId="0" borderId="8" numFmtId="0" xfId="6" applyFont="1" applyBorder="1"/>
    <xf fontId="1" fillId="0" borderId="0" numFmtId="167" xfId="6" applyNumberFormat="1" applyFont="1"/>
    <xf fontId="18" fillId="0" borderId="7" numFmtId="0" xfId="6" applyFont="1" applyBorder="1" applyAlignment="1">
      <alignment horizontal="left" wrapText="1"/>
    </xf>
    <xf fontId="18" fillId="0" borderId="0" numFmtId="0" xfId="6" applyFont="1" applyAlignment="1">
      <alignment horizontal="left" wrapText="1"/>
    </xf>
    <xf fontId="18" fillId="0" borderId="8" numFmtId="0" xfId="6" applyFont="1" applyBorder="1" applyAlignment="1">
      <alignment horizontal="left" wrapText="1"/>
    </xf>
    <xf fontId="1" fillId="0" borderId="0" numFmtId="9" xfId="13" applyNumberFormat="1" applyFont="1" applyProtection="1"/>
    <xf fontId="1" fillId="0" borderId="0" numFmtId="164" xfId="3" applyNumberFormat="1" applyFont="1" applyProtection="1"/>
    <xf fontId="1" fillId="0" borderId="0" numFmtId="164" xfId="6" applyNumberFormat="1" applyFont="1"/>
    <xf fontId="19" fillId="0" borderId="7" numFmtId="0" xfId="6" applyFont="1" applyBorder="1" applyAlignment="1">
      <alignment wrapText="1"/>
    </xf>
    <xf fontId="19" fillId="0" borderId="0" numFmtId="0" xfId="6" applyFont="1" applyAlignment="1">
      <alignment wrapText="1"/>
    </xf>
    <xf fontId="19" fillId="0" borderId="0" numFmtId="0" xfId="6" applyFont="1" applyAlignment="1">
      <alignment horizontal="center" wrapText="1"/>
    </xf>
    <xf fontId="19" fillId="0" borderId="8" numFmtId="0" xfId="6" applyFont="1" applyBorder="1" applyAlignment="1">
      <alignment wrapText="1"/>
    </xf>
    <xf fontId="19" fillId="0" borderId="7" numFmtId="0" xfId="6" applyFont="1" applyBorder="1" applyAlignment="1">
      <alignment horizontal="right" wrapText="1"/>
    </xf>
    <xf fontId="19" fillId="12" borderId="0" numFmtId="0" xfId="6" applyFont="1" applyFill="1" applyAlignment="1">
      <alignment horizontal="right" wrapText="1"/>
    </xf>
    <xf fontId="19" fillId="0" borderId="7" numFmtId="0" xfId="6" applyFont="1" applyBorder="1" applyAlignment="1">
      <alignment horizontal="center" wrapText="1"/>
    </xf>
    <xf fontId="20" fillId="0" borderId="0" numFmtId="4" xfId="7" applyNumberFormat="1" applyFont="1"/>
    <xf fontId="19" fillId="0" borderId="0" numFmtId="0" xfId="6" applyFont="1" applyAlignment="1">
      <alignment horizontal="center"/>
    </xf>
    <xf fontId="19" fillId="0" borderId="0" numFmtId="0" xfId="6" applyFont="1" applyAlignment="1">
      <alignment horizontal="center" vertical="center" wrapText="1"/>
    </xf>
    <xf fontId="1" fillId="0" borderId="7" numFmtId="0" xfId="6" applyFont="1" applyBorder="1" applyAlignment="1">
      <alignment horizontal="center" wrapText="1"/>
    </xf>
    <xf fontId="1" fillId="0" borderId="0" numFmtId="0" xfId="6" applyFont="1" applyAlignment="1">
      <alignment horizontal="center" wrapText="1"/>
    </xf>
    <xf fontId="1" fillId="12" borderId="0" numFmtId="167" xfId="6" applyNumberFormat="1" applyFont="1" applyFill="1" applyAlignment="1">
      <alignment horizontal="center"/>
    </xf>
    <xf fontId="1" fillId="0" borderId="0" numFmtId="0" xfId="6" applyFont="1" applyAlignment="1">
      <alignment horizontal="left"/>
    </xf>
    <xf fontId="1" fillId="13" borderId="0" numFmtId="164" xfId="3" applyNumberFormat="1" applyFont="1" applyFill="1" applyProtection="1"/>
    <xf fontId="1" fillId="0" borderId="0" numFmtId="0" xfId="6" applyFont="1" applyAlignment="1">
      <alignment horizontal="center" vertical="center" wrapText="1"/>
    </xf>
    <xf fontId="21" fillId="12" borderId="0" numFmtId="167" xfId="6" applyNumberFormat="1" applyFont="1" applyFill="1" applyAlignment="1">
      <alignment horizontal="center" wrapText="1"/>
    </xf>
    <xf fontId="21" fillId="13" borderId="0" numFmtId="167" xfId="6" applyNumberFormat="1" applyFont="1" applyFill="1" applyAlignment="1">
      <alignment horizontal="center" wrapText="1"/>
    </xf>
    <xf fontId="19" fillId="0" borderId="7" numFmtId="0" xfId="6" applyFont="1" applyBorder="1"/>
    <xf fontId="19" fillId="12" borderId="0" numFmtId="166" xfId="6" applyNumberFormat="1" applyFont="1" applyFill="1" applyAlignment="1">
      <alignment horizontal="center"/>
    </xf>
    <xf fontId="18" fillId="0" borderId="0" numFmtId="0" xfId="6" applyFont="1" applyAlignment="1">
      <alignment horizontal="left"/>
    </xf>
    <xf fontId="1" fillId="12" borderId="0" numFmtId="9" xfId="13" applyNumberFormat="1" applyFont="1" applyFill="1" applyAlignment="1" applyProtection="1">
      <alignment horizontal="center"/>
    </xf>
    <xf fontId="19" fillId="0" borderId="8" numFmtId="0" xfId="6" applyFont="1" applyBorder="1"/>
    <xf fontId="1" fillId="0" borderId="7" numFmtId="0" xfId="6" applyFont="1" applyBorder="1" applyAlignment="1">
      <alignment wrapText="1"/>
    </xf>
    <xf fontId="18" fillId="0" borderId="0" numFmtId="0" xfId="6" applyFont="1"/>
    <xf fontId="1" fillId="12" borderId="0" numFmtId="0" xfId="6" applyFont="1" applyFill="1" applyAlignment="1">
      <alignment horizontal="center"/>
    </xf>
    <xf fontId="1" fillId="0" borderId="0" numFmtId="168" xfId="13" applyNumberFormat="1" applyFont="1" applyProtection="1"/>
    <xf fontId="1" fillId="0" borderId="7" numFmtId="0" xfId="6" applyFont="1" applyBorder="1" applyAlignment="1">
      <alignment horizontal="left"/>
    </xf>
    <xf fontId="19" fillId="0" borderId="0" numFmtId="9" xfId="13" applyNumberFormat="1" applyFont="1" applyProtection="1"/>
    <xf fontId="1" fillId="0" borderId="0" numFmtId="169" xfId="6" applyNumberFormat="1" applyFont="1"/>
    <xf fontId="1" fillId="12" borderId="0" numFmtId="10" xfId="6" applyNumberFormat="1" applyFont="1" applyFill="1" applyAlignment="1">
      <alignment horizontal="center"/>
    </xf>
    <xf fontId="1" fillId="0" borderId="8" numFmtId="170" xfId="6" applyNumberFormat="1" applyFont="1" applyBorder="1"/>
    <xf fontId="1" fillId="0" borderId="0" numFmtId="10" xfId="13" applyNumberFormat="1" applyFont="1" applyProtection="1"/>
    <xf fontId="19" fillId="12" borderId="0" numFmtId="2" xfId="6" applyNumberFormat="1" applyFont="1" applyFill="1" applyAlignment="1">
      <alignment horizontal="center"/>
    </xf>
    <xf fontId="1" fillId="12" borderId="0" numFmtId="168" xfId="13" applyNumberFormat="1" applyFont="1" applyFill="1" applyAlignment="1" applyProtection="1">
      <alignment horizontal="center"/>
    </xf>
    <xf fontId="1" fillId="0" borderId="0" numFmtId="165" xfId="6" applyNumberFormat="1" applyFont="1"/>
    <xf fontId="1" fillId="12" borderId="0" numFmtId="1" xfId="13" applyNumberFormat="1" applyFont="1" applyFill="1" applyAlignment="1" applyProtection="1">
      <alignment horizontal="center"/>
    </xf>
    <xf fontId="0" fillId="0" borderId="0" numFmtId="0" xfId="9" applyAlignment="1">
      <alignment horizontal="center"/>
    </xf>
    <xf fontId="1" fillId="0" borderId="0" numFmtId="169" xfId="6" applyNumberFormat="1" applyFont="1" applyAlignment="1">
      <alignment horizontal="center" wrapText="1"/>
    </xf>
    <xf fontId="1" fillId="0" borderId="0" numFmtId="9" xfId="13" applyNumberFormat="1" applyFont="1" applyAlignment="1" applyProtection="1">
      <alignment horizontal="center"/>
    </xf>
    <xf fontId="0" fillId="0" borderId="0" numFmtId="167" xfId="9" applyNumberFormat="1" applyAlignment="1">
      <alignment horizontal="center"/>
    </xf>
    <xf fontId="1" fillId="0" borderId="0" numFmtId="165" xfId="6" applyNumberFormat="1" applyFont="1" applyAlignment="1">
      <alignment horizontal="center"/>
    </xf>
    <xf fontId="1" fillId="0" borderId="0" numFmtId="164" xfId="3" applyNumberFormat="1" applyFont="1" applyAlignment="1" applyProtection="1">
      <alignment horizontal="center"/>
    </xf>
    <xf fontId="19" fillId="4" borderId="21" numFmtId="0" xfId="6" applyFont="1" applyFill="1" applyBorder="1" applyAlignment="1">
      <alignment vertical="center"/>
    </xf>
    <xf fontId="19" fillId="4" borderId="22" numFmtId="0" xfId="6" applyFont="1" applyFill="1" applyBorder="1" applyAlignment="1">
      <alignment vertical="center"/>
    </xf>
    <xf fontId="1" fillId="4" borderId="22" numFmtId="0" xfId="6" applyFont="1" applyFill="1" applyBorder="1"/>
    <xf fontId="19" fillId="4" borderId="22" numFmtId="0" xfId="6" applyFont="1" applyFill="1" applyBorder="1" applyAlignment="1">
      <alignment horizontal="center" vertical="center"/>
    </xf>
    <xf fontId="19" fillId="4" borderId="23" numFmtId="0" xfId="6" applyFont="1" applyFill="1" applyBorder="1" applyAlignment="1">
      <alignment vertical="center"/>
    </xf>
    <xf fontId="19" fillId="0" borderId="0" numFmtId="10" xfId="6" applyNumberFormat="1" applyFont="1"/>
    <xf fontId="19" fillId="0" borderId="0" numFmtId="164" xfId="3" applyNumberFormat="1" applyFont="1" applyAlignment="1" applyProtection="1">
      <alignment wrapText="1"/>
    </xf>
    <xf fontId="1" fillId="0" borderId="0" numFmtId="10" xfId="6" applyNumberFormat="1" applyFont="1"/>
    <xf fontId="1" fillId="0" borderId="15" numFmtId="0" xfId="14" applyFont="1" applyBorder="1" applyAlignment="1" applyProtection="1">
      <alignment horizontal="left" vertical="center" wrapText="1"/>
    </xf>
    <xf fontId="1" fillId="0" borderId="16" numFmtId="0" xfId="14" applyFont="1" applyBorder="1" applyAlignment="1" applyProtection="1">
      <alignment horizontal="left" vertical="center" wrapText="1"/>
    </xf>
    <xf fontId="1" fillId="0" borderId="16" numFmtId="0" xfId="14" applyFont="1" applyBorder="1" applyAlignment="1" applyProtection="1">
      <alignment horizontal="center" vertical="center" wrapText="1"/>
    </xf>
    <xf fontId="1" fillId="0" borderId="17" numFmtId="0" xfId="14" applyFont="1" applyBorder="1" applyAlignment="1" applyProtection="1">
      <alignment horizontal="center" vertical="center" wrapText="1"/>
    </xf>
    <xf fontId="1" fillId="0" borderId="15" numFmtId="0" xfId="14" applyFont="1" applyBorder="1" applyAlignment="1" applyProtection="1">
      <alignment horizontal="center" vertical="center" wrapText="1"/>
    </xf>
    <xf fontId="1" fillId="0" borderId="16" numFmtId="0" xfId="14" applyFont="1" applyBorder="1" applyAlignment="1" applyProtection="1">
      <alignment horizontal="left" indent="1" vertical="center" wrapText="1"/>
    </xf>
    <xf fontId="1" fillId="13" borderId="16" numFmtId="11" xfId="6" applyNumberFormat="1" applyFont="1" applyFill="1" applyBorder="1" applyAlignment="1">
      <alignment horizontal="center"/>
    </xf>
    <xf fontId="1" fillId="13" borderId="16" numFmtId="167" xfId="16" applyNumberFormat="1" applyFont="1" applyFill="1" applyBorder="1" applyAlignment="1" applyProtection="1">
      <alignment horizontal="center" vertical="center"/>
    </xf>
    <xf fontId="1" fillId="13" borderId="17" numFmtId="167" xfId="16" applyNumberFormat="1" applyFont="1" applyFill="1" applyBorder="1" applyAlignment="1" applyProtection="1">
      <alignment horizontal="center" vertical="center"/>
    </xf>
    <xf fontId="1" fillId="13" borderId="16" numFmtId="2" xfId="16" applyNumberFormat="1" applyFont="1" applyFill="1" applyBorder="1" applyAlignment="1" applyProtection="1">
      <alignment horizontal="center" vertical="center" wrapText="1"/>
    </xf>
    <xf fontId="1" fillId="13" borderId="16" numFmtId="170" xfId="6" applyNumberFormat="1" applyFont="1" applyFill="1" applyBorder="1" applyAlignment="1">
      <alignment horizontal="center" vertical="center"/>
    </xf>
    <xf fontId="1" fillId="0" borderId="16" numFmtId="0" xfId="14" applyFont="1" applyBorder="1" applyAlignment="1" applyProtection="1">
      <alignment horizontal="left" indent="1" vertical="center"/>
    </xf>
    <xf fontId="1" fillId="13" borderId="16" numFmtId="9" xfId="13" applyNumberFormat="1" applyFont="1" applyFill="1" applyBorder="1" applyAlignment="1" applyProtection="1">
      <alignment horizontal="center" vertical="center" wrapText="1"/>
    </xf>
    <xf fontId="1" fillId="13" borderId="16" numFmtId="167" xfId="6" applyNumberFormat="1" applyFont="1" applyFill="1" applyBorder="1" applyAlignment="1">
      <alignment horizontal="center" vertical="center"/>
    </xf>
    <xf fontId="1" fillId="13" borderId="16" numFmtId="11" xfId="16" applyNumberFormat="1" applyFont="1" applyFill="1" applyBorder="1" applyAlignment="1" applyProtection="1">
      <alignment horizontal="center" vertical="center" wrapText="1"/>
    </xf>
    <xf fontId="1" fillId="0" borderId="16" numFmtId="165" xfId="16" applyNumberFormat="1" applyFont="1" applyBorder="1" applyAlignment="1" applyProtection="1">
      <alignment horizontal="center" vertical="center" wrapText="1"/>
    </xf>
    <xf fontId="1" fillId="0" borderId="0" numFmtId="11" xfId="6" applyNumberFormat="1" applyFont="1"/>
    <xf fontId="1" fillId="0" borderId="0" numFmtId="2" xfId="6" applyNumberFormat="1" applyFont="1"/>
    <xf fontId="1" fillId="0" borderId="24" numFmtId="0" xfId="14" applyFont="1" applyBorder="1" applyAlignment="1" applyProtection="1">
      <alignment horizontal="center" vertical="center" wrapText="1"/>
    </xf>
    <xf fontId="1" fillId="0" borderId="21" numFmtId="0" xfId="14" applyFont="1" applyBorder="1" applyAlignment="1" applyProtection="1">
      <alignment horizontal="center" vertical="center" wrapText="1"/>
    </xf>
    <xf fontId="1" fillId="0" borderId="21" numFmtId="0" xfId="14" applyFont="1" applyBorder="1" applyAlignment="1" applyProtection="1">
      <alignment vertical="center" wrapText="1"/>
    </xf>
    <xf fontId="1" fillId="0" borderId="22" numFmtId="0" xfId="14" applyFont="1" applyBorder="1" applyAlignment="1" applyProtection="1">
      <alignment horizontal="center" vertical="center" wrapText="1"/>
    </xf>
    <xf fontId="1" fillId="0" borderId="23" numFmtId="0" xfId="14" applyFont="1" applyBorder="1" applyAlignment="1" applyProtection="1">
      <alignment vertical="center" wrapText="1"/>
    </xf>
    <xf fontId="1" fillId="14" borderId="25" numFmtId="167" xfId="6" applyNumberFormat="1" applyFont="1" applyFill="1" applyBorder="1" applyAlignment="1">
      <alignment horizontal="center"/>
    </xf>
    <xf fontId="1" fillId="0" borderId="0" numFmtId="0" xfId="6" applyFont="1" applyAlignment="1">
      <alignment horizontal="right"/>
    </xf>
    <xf fontId="1" fillId="0" borderId="0" numFmtId="9" xfId="6" applyNumberFormat="1" applyFont="1" applyAlignment="1">
      <alignment horizontal="left"/>
    </xf>
    <xf fontId="1" fillId="0" borderId="7" numFmtId="0" xfId="14" applyFont="1" applyBorder="1" applyAlignment="1" applyProtection="1">
      <alignment horizontal="center" vertical="center" wrapText="1"/>
    </xf>
    <xf fontId="1" fillId="0" borderId="0" numFmtId="0" xfId="14" applyFont="1" applyAlignment="1" applyProtection="1">
      <alignment horizontal="center" vertical="center" wrapText="1"/>
    </xf>
    <xf fontId="1" fillId="0" borderId="0" numFmtId="0" xfId="14" applyFont="1" applyAlignment="1" applyProtection="1">
      <alignment horizontal="left" vertical="center" wrapText="1"/>
    </xf>
    <xf fontId="1" fillId="0" borderId="0" numFmtId="165" xfId="16" applyNumberFormat="1" applyFont="1" applyAlignment="1" applyProtection="1">
      <alignment horizontal="center" vertical="center" wrapText="1"/>
    </xf>
    <xf fontId="1" fillId="0" borderId="0" numFmtId="171" xfId="16" applyNumberFormat="1" applyFont="1" applyAlignment="1" applyProtection="1">
      <alignment horizontal="center" vertical="center" wrapText="1"/>
    </xf>
    <xf fontId="1" fillId="0" borderId="0" numFmtId="167" xfId="16" applyNumberFormat="1" applyFont="1" applyAlignment="1" applyProtection="1">
      <alignment horizontal="center" vertical="center"/>
    </xf>
    <xf fontId="1" fillId="0" borderId="8" numFmtId="165" xfId="16" applyNumberFormat="1" applyFont="1" applyBorder="1" applyAlignment="1" applyProtection="1">
      <alignment horizontal="center" vertical="center"/>
    </xf>
    <xf fontId="19" fillId="4" borderId="21" numFmtId="0" xfId="6" applyFont="1" applyFill="1" applyBorder="1"/>
    <xf fontId="1" fillId="4" borderId="22" numFmtId="0" xfId="6" applyFont="1" applyFill="1" applyBorder="1" applyAlignment="1">
      <alignment horizontal="center"/>
    </xf>
    <xf fontId="1" fillId="4" borderId="23" numFmtId="0" xfId="6" applyFont="1" applyFill="1" applyBorder="1"/>
    <xf fontId="0" fillId="0" borderId="16" numFmtId="0" xfId="14" applyBorder="1" applyAlignment="1" applyProtection="1">
      <alignment horizontal="center" vertical="center" wrapText="1"/>
    </xf>
    <xf fontId="0" fillId="0" borderId="17" numFmtId="0" xfId="14" applyBorder="1" applyAlignment="1" applyProtection="1">
      <alignment horizontal="center" vertical="center" wrapText="1"/>
    </xf>
    <xf fontId="19" fillId="0" borderId="0" numFmtId="0" xfId="6" applyFont="1"/>
    <xf fontId="19" fillId="0" borderId="0" numFmtId="164" xfId="6" applyNumberFormat="1" applyFont="1" applyAlignment="1">
      <alignment horizontal="center"/>
    </xf>
    <xf fontId="19" fillId="0" borderId="0" numFmtId="164" xfId="3" applyNumberFormat="1" applyFont="1" applyAlignment="1" applyProtection="1">
      <alignment horizontal="center"/>
    </xf>
    <xf fontId="19" fillId="0" borderId="0" numFmtId="164" xfId="6" applyNumberFormat="1" applyFont="1"/>
    <xf fontId="0" fillId="0" borderId="15" numFmtId="0" xfId="14" applyBorder="1" applyAlignment="1" applyProtection="1">
      <alignment horizontal="center" vertical="center" wrapText="1"/>
    </xf>
    <xf fontId="0" fillId="0" borderId="16" numFmtId="0" xfId="14" applyBorder="1" applyAlignment="1" applyProtection="1">
      <alignment vertical="center" wrapText="1"/>
    </xf>
    <xf fontId="1" fillId="14" borderId="17" numFmtId="167" xfId="6" applyNumberFormat="1" applyFont="1" applyFill="1" applyBorder="1" applyAlignment="1">
      <alignment horizontal="center"/>
    </xf>
    <xf fontId="0" fillId="0" borderId="7" numFmtId="0" xfId="14" applyBorder="1" applyAlignment="1" applyProtection="1">
      <alignment horizontal="center" vertical="center" wrapText="1"/>
    </xf>
    <xf fontId="0" fillId="0" borderId="0" numFmtId="0" xfId="14" applyAlignment="1" applyProtection="1">
      <alignment horizontal="center" vertical="center" wrapText="1"/>
    </xf>
    <xf fontId="0" fillId="0" borderId="0" numFmtId="0" xfId="14" applyAlignment="1" applyProtection="1">
      <alignment vertical="center" wrapText="1"/>
    </xf>
    <xf fontId="1" fillId="0" borderId="0" numFmtId="164" xfId="6" applyNumberFormat="1" applyFont="1" applyAlignment="1">
      <alignment horizontal="center"/>
    </xf>
    <xf fontId="1" fillId="4" borderId="23" numFmtId="0" xfId="6" applyFont="1" applyFill="1" applyBorder="1" applyAlignment="1">
      <alignment horizontal="center"/>
    </xf>
    <xf fontId="0" fillId="0" borderId="0" numFmtId="167" xfId="9" applyNumberFormat="1"/>
    <xf fontId="1" fillId="0" borderId="15" numFmtId="0" xfId="6" applyFont="1" applyBorder="1" applyAlignment="1">
      <alignment horizontal="center"/>
    </xf>
    <xf fontId="1" fillId="0" borderId="16" numFmtId="0" xfId="6" applyFont="1" applyBorder="1" applyAlignment="1">
      <alignment horizontal="center"/>
    </xf>
    <xf fontId="1" fillId="0" borderId="17" numFmtId="0" xfId="6" applyFont="1" applyBorder="1" applyAlignment="1">
      <alignment horizontal="center"/>
    </xf>
    <xf fontId="1" fillId="0" borderId="15" numFmtId="0" xfId="6" applyFont="1" applyBorder="1" applyAlignment="1">
      <alignment horizontal="left"/>
    </xf>
    <xf fontId="1" fillId="0" borderId="16" numFmtId="0" xfId="6" applyFont="1" applyBorder="1" applyAlignment="1">
      <alignment horizontal="left"/>
    </xf>
    <xf fontId="0" fillId="0" borderId="16" numFmtId="165" xfId="16" applyNumberFormat="1" applyBorder="1" applyAlignment="1" applyProtection="1">
      <alignment horizontal="center"/>
    </xf>
    <xf fontId="0" fillId="0" borderId="16" numFmtId="167" xfId="16" applyNumberFormat="1" applyBorder="1" applyAlignment="1" applyProtection="1">
      <alignment horizontal="center"/>
    </xf>
    <xf fontId="1" fillId="0" borderId="17" numFmtId="167" xfId="6" applyNumberFormat="1" applyFont="1" applyBorder="1" applyAlignment="1">
      <alignment horizontal="center"/>
    </xf>
    <xf fontId="0" fillId="0" borderId="0" numFmtId="165" xfId="16" applyNumberFormat="1" applyAlignment="1" applyProtection="1">
      <alignment horizontal="center"/>
    </xf>
    <xf fontId="19" fillId="0" borderId="16" numFmtId="0" xfId="6" applyFont="1" applyBorder="1" applyAlignment="1">
      <alignment horizontal="center"/>
    </xf>
    <xf fontId="19" fillId="14" borderId="17" numFmtId="167" xfId="6" applyNumberFormat="1" applyFont="1" applyFill="1" applyBorder="1" applyAlignment="1">
      <alignment horizontal="center"/>
    </xf>
    <xf fontId="0" fillId="0" borderId="0" numFmtId="167" xfId="16" applyNumberFormat="1" applyAlignment="1" applyProtection="1">
      <alignment horizontal="center"/>
    </xf>
    <xf fontId="1" fillId="0" borderId="8" numFmtId="167" xfId="6" applyNumberFormat="1" applyFont="1" applyBorder="1" applyAlignment="1">
      <alignment horizontal="center"/>
    </xf>
    <xf fontId="1" fillId="4" borderId="22" numFmtId="0" xfId="6" applyFont="1" applyFill="1" applyBorder="1" applyAlignment="1">
      <alignment horizontal="left"/>
    </xf>
    <xf fontId="0" fillId="4" borderId="22" numFmtId="165" xfId="16" applyNumberFormat="1" applyFill="1" applyBorder="1" applyAlignment="1" applyProtection="1">
      <alignment horizontal="center"/>
    </xf>
    <xf fontId="0" fillId="4" borderId="22" numFmtId="167" xfId="16" applyNumberFormat="1" applyFill="1" applyBorder="1" applyAlignment="1" applyProtection="1">
      <alignment horizontal="center"/>
    </xf>
    <xf fontId="1" fillId="4" borderId="23" numFmtId="167" xfId="6" applyNumberFormat="1" applyFont="1" applyFill="1" applyBorder="1" applyAlignment="1">
      <alignment horizontal="center"/>
    </xf>
    <xf fontId="0" fillId="0" borderId="0" numFmtId="0" xfId="9"/>
    <xf fontId="1" fillId="0" borderId="12" numFmtId="0" xfId="6" applyFont="1" applyBorder="1"/>
    <xf fontId="1" fillId="0" borderId="13" numFmtId="0" xfId="6" applyFont="1" applyBorder="1"/>
    <xf fontId="1" fillId="0" borderId="13" numFmtId="0" xfId="6" applyFont="1" applyBorder="1" applyAlignment="1">
      <alignment horizontal="center"/>
    </xf>
    <xf fontId="19" fillId="0" borderId="19" numFmtId="0" xfId="6" applyFont="1" applyBorder="1" applyAlignment="1">
      <alignment horizontal="center"/>
    </xf>
    <xf fontId="19" fillId="14" borderId="20" numFmtId="167" xfId="6" applyNumberFormat="1" applyFont="1" applyFill="1" applyBorder="1" applyAlignment="1">
      <alignment horizontal="center"/>
    </xf>
    <xf fontId="1" fillId="0" borderId="0" numFmtId="167" xfId="6" applyNumberFormat="1" applyFont="1" applyAlignment="1">
      <alignment horizontal="center"/>
    </xf>
    <xf fontId="16" fillId="4" borderId="26" numFmtId="4" xfId="6" applyNumberFormat="1" applyFont="1" applyFill="1" applyBorder="1" applyAlignment="1">
      <alignment horizontal="center" vertical="center"/>
    </xf>
    <xf fontId="16" fillId="4" borderId="27" numFmtId="4" xfId="6" applyNumberFormat="1" applyFont="1" applyFill="1" applyBorder="1" applyAlignment="1">
      <alignment horizontal="center" vertical="center"/>
    </xf>
    <xf fontId="16" fillId="4" borderId="28" numFmtId="4" xfId="6" applyNumberFormat="1" applyFont="1" applyFill="1" applyBorder="1" applyAlignment="1">
      <alignment horizontal="center" vertical="center"/>
    </xf>
    <xf fontId="17" fillId="11" borderId="29" numFmtId="4" xfId="6" applyNumberFormat="1" applyFont="1" applyFill="1" applyBorder="1" applyAlignment="1">
      <alignment horizontal="center" vertical="center"/>
    </xf>
    <xf fontId="17" fillId="11" borderId="30" numFmtId="4" xfId="6" applyNumberFormat="1" applyFont="1" applyFill="1" applyBorder="1" applyAlignment="1">
      <alignment horizontal="center" vertical="center"/>
    </xf>
    <xf fontId="1" fillId="0" borderId="29" numFmtId="0" xfId="6" applyFont="1" applyBorder="1"/>
    <xf fontId="1" fillId="0" borderId="30" numFmtId="0" xfId="6" applyFont="1" applyBorder="1"/>
    <xf fontId="19" fillId="4" borderId="21" numFmtId="0" xfId="6" applyFont="1" applyFill="1" applyBorder="1" applyAlignment="1">
      <alignment horizontal="left" wrapText="1"/>
    </xf>
    <xf fontId="19" fillId="4" borderId="22" numFmtId="0" xfId="6" applyFont="1" applyFill="1" applyBorder="1" applyAlignment="1">
      <alignment horizontal="left" wrapText="1"/>
    </xf>
    <xf fontId="19" fillId="4" borderId="23" numFmtId="0" xfId="6" applyFont="1" applyFill="1" applyBorder="1" applyAlignment="1">
      <alignment horizontal="left" wrapText="1"/>
    </xf>
    <xf fontId="19" fillId="0" borderId="29" numFmtId="0" xfId="6" applyFont="1" applyBorder="1" applyAlignment="1">
      <alignment wrapText="1"/>
    </xf>
    <xf fontId="19" fillId="0" borderId="30" numFmtId="0" xfId="6" applyFont="1" applyBorder="1" applyAlignment="1">
      <alignment wrapText="1"/>
    </xf>
    <xf fontId="19" fillId="0" borderId="29" numFmtId="0" xfId="6" applyFont="1" applyBorder="1" applyAlignment="1">
      <alignment horizontal="right" wrapText="1"/>
    </xf>
    <xf fontId="19" fillId="0" borderId="29" numFmtId="0" xfId="6" applyFont="1" applyBorder="1" applyAlignment="1">
      <alignment horizontal="center" wrapText="1"/>
    </xf>
    <xf fontId="20" fillId="0" borderId="0" numFmtId="0" xfId="7" applyFont="1"/>
    <xf fontId="1" fillId="0" borderId="29" numFmtId="0" xfId="6" applyFont="1" applyBorder="1" applyAlignment="1">
      <alignment horizontal="center" wrapText="1"/>
    </xf>
    <xf fontId="1" fillId="12" borderId="0" numFmtId="164" xfId="3" applyNumberFormat="1" applyFont="1" applyFill="1" applyProtection="1"/>
    <xf fontId="1" fillId="13" borderId="0" numFmtId="167" xfId="6" applyNumberFormat="1" applyFont="1" applyFill="1" applyAlignment="1">
      <alignment horizontal="center"/>
    </xf>
    <xf fontId="21" fillId="0" borderId="0" numFmtId="167" xfId="6" applyNumberFormat="1" applyFont="1" applyAlignment="1">
      <alignment horizontal="center" wrapText="1"/>
    </xf>
    <xf fontId="19" fillId="0" borderId="29" numFmtId="0" xfId="6" applyFont="1" applyBorder="1"/>
    <xf fontId="19" fillId="0" borderId="30" numFmtId="0" xfId="6" applyFont="1" applyBorder="1"/>
    <xf fontId="1" fillId="0" borderId="0" numFmtId="166" xfId="6" applyNumberFormat="1" applyFont="1" applyAlignment="1">
      <alignment horizontal="center"/>
    </xf>
    <xf fontId="1" fillId="0" borderId="29" numFmtId="0" xfId="6" applyFont="1" applyBorder="1" applyAlignment="1">
      <alignment horizontal="right"/>
    </xf>
    <xf fontId="1" fillId="12" borderId="0" numFmtId="166" xfId="6" applyNumberFormat="1" applyFont="1" applyFill="1" applyAlignment="1">
      <alignment horizontal="center"/>
    </xf>
    <xf fontId="1" fillId="0" borderId="30" numFmtId="170" xfId="6" applyNumberFormat="1" applyFont="1" applyBorder="1"/>
    <xf fontId="1" fillId="0" borderId="0" numFmtId="2" xfId="6" applyNumberFormat="1" applyFont="1" applyAlignment="1">
      <alignment horizontal="center"/>
    </xf>
    <xf fontId="1" fillId="0" borderId="0" numFmtId="169" xfId="6" applyNumberFormat="1" applyFont="1" applyAlignment="1">
      <alignment horizontal="center"/>
    </xf>
    <xf fontId="1" fillId="0" borderId="0" numFmtId="9" xfId="13" applyNumberFormat="1" applyFont="1" applyAlignment="1" applyProtection="1">
      <alignment horizontal="left"/>
    </xf>
    <xf fontId="1" fillId="0" borderId="16" numFmtId="11" xfId="16" applyNumberFormat="1" applyFont="1" applyBorder="1" applyAlignment="1" applyProtection="1">
      <alignment horizontal="center" vertical="center" wrapText="1"/>
    </xf>
    <xf fontId="1" fillId="0" borderId="16" numFmtId="167" xfId="16" applyNumberFormat="1" applyFont="1" applyBorder="1" applyAlignment="1" applyProtection="1">
      <alignment horizontal="center" vertical="center"/>
    </xf>
    <xf fontId="1" fillId="14" borderId="23" numFmtId="167" xfId="6" applyNumberFormat="1" applyFont="1" applyFill="1" applyBorder="1" applyAlignment="1">
      <alignment horizontal="center"/>
    </xf>
    <xf fontId="1" fillId="0" borderId="29" numFmtId="0" xfId="14" applyFont="1" applyBorder="1" applyAlignment="1" applyProtection="1">
      <alignment horizontal="center" vertical="center" wrapText="1"/>
    </xf>
    <xf fontId="1" fillId="0" borderId="30" numFmtId="165" xfId="16" applyNumberFormat="1" applyFont="1" applyBorder="1" applyAlignment="1" applyProtection="1">
      <alignment horizontal="center" vertical="center"/>
    </xf>
    <xf fontId="1" fillId="0" borderId="0" numFmtId="10" xfId="13" applyNumberFormat="1" applyFont="1" applyAlignment="1" applyProtection="1">
      <alignment horizontal="left"/>
    </xf>
    <xf fontId="1" fillId="14" borderId="16" numFmtId="167" xfId="6" applyNumberFormat="1" applyFont="1" applyFill="1" applyBorder="1" applyAlignment="1">
      <alignment horizontal="center"/>
    </xf>
    <xf fontId="0" fillId="0" borderId="29" numFmtId="0" xfId="14" applyBorder="1" applyAlignment="1" applyProtection="1">
      <alignment horizontal="center" vertical="center" wrapText="1"/>
    </xf>
    <xf fontId="1" fillId="0" borderId="16" numFmtId="167" xfId="6" applyNumberFormat="1" applyFont="1" applyBorder="1" applyAlignment="1">
      <alignment horizontal="center"/>
    </xf>
    <xf fontId="1" fillId="0" borderId="29" numFmtId="0" xfId="6" applyFont="1" applyBorder="1" applyAlignment="1">
      <alignment horizontal="left"/>
    </xf>
    <xf fontId="19" fillId="14" borderId="16" numFmtId="167" xfId="6" applyNumberFormat="1" applyFont="1" applyFill="1" applyBorder="1" applyAlignment="1">
      <alignment horizontal="center"/>
    </xf>
    <xf fontId="1" fillId="0" borderId="30" numFmtId="167" xfId="6" applyNumberFormat="1" applyFont="1" applyBorder="1" applyAlignment="1">
      <alignment horizontal="center"/>
    </xf>
    <xf fontId="1" fillId="0" borderId="31" numFmtId="0" xfId="6" applyFont="1" applyBorder="1"/>
    <xf fontId="1" fillId="0" borderId="32" numFmtId="0" xfId="6" applyFont="1" applyBorder="1"/>
    <xf fontId="1" fillId="0" borderId="32" numFmtId="0" xfId="6" applyFont="1" applyBorder="1" applyAlignment="1">
      <alignment horizontal="center"/>
    </xf>
    <xf fontId="16" fillId="15" borderId="1" numFmtId="4" xfId="5" applyNumberFormat="1" applyFont="1" applyFill="1" applyBorder="1" applyAlignment="1">
      <alignment horizontal="center" vertical="center" wrapText="1"/>
    </xf>
    <xf fontId="16" fillId="15" borderId="2" numFmtId="4" xfId="5" applyNumberFormat="1" applyFont="1" applyFill="1" applyBorder="1" applyAlignment="1">
      <alignment horizontal="center" vertical="center" wrapText="1"/>
    </xf>
    <xf fontId="16" fillId="15" borderId="3" numFmtId="4" xfId="5" applyNumberFormat="1" applyFont="1" applyFill="1" applyBorder="1" applyAlignment="1">
      <alignment horizontal="center" vertical="center" wrapText="1"/>
    </xf>
    <xf fontId="7" fillId="0" borderId="7" numFmtId="4" xfId="5" applyNumberFormat="1" applyFont="1" applyBorder="1" applyAlignment="1">
      <alignment vertical="center"/>
    </xf>
    <xf fontId="7" fillId="0" borderId="0" numFmtId="4" xfId="5" applyNumberFormat="1" applyFont="1" applyAlignment="1">
      <alignment horizontal="center" vertical="center"/>
    </xf>
    <xf fontId="7" fillId="0" borderId="0" numFmtId="4" xfId="5" applyNumberFormat="1" applyFont="1" applyAlignment="1">
      <alignment vertical="center"/>
    </xf>
    <xf fontId="7" fillId="0" borderId="8" numFmtId="172" xfId="1" applyNumberFormat="1" applyFont="1" applyBorder="1" applyAlignment="1" applyProtection="1">
      <alignment shrinkToFit="1" vertical="center"/>
    </xf>
    <xf fontId="8" fillId="0" borderId="0" numFmtId="4" xfId="5" applyNumberFormat="1" applyFont="1" applyAlignment="1">
      <alignment vertical="center"/>
    </xf>
    <xf fontId="22" fillId="16" borderId="15" numFmtId="0" xfId="5" applyFont="1" applyFill="1" applyBorder="1" applyAlignment="1">
      <alignment horizontal="center" wrapText="1"/>
    </xf>
    <xf fontId="22" fillId="16" borderId="16" numFmtId="0" xfId="5" applyFont="1" applyFill="1" applyBorder="1" applyAlignment="1">
      <alignment horizontal="center" wrapText="1"/>
    </xf>
    <xf fontId="22" fillId="16" borderId="17" numFmtId="0" xfId="5" applyFont="1" applyFill="1" applyBorder="1" applyAlignment="1">
      <alignment horizontal="center" wrapText="1"/>
    </xf>
    <xf fontId="0" fillId="17" borderId="0" numFmtId="0" xfId="5" applyFill="1"/>
    <xf fontId="8" fillId="17" borderId="7" numFmtId="4" xfId="5" applyNumberFormat="1" applyFont="1" applyFill="1" applyBorder="1" applyAlignment="1">
      <alignment vertical="center"/>
    </xf>
    <xf fontId="8" fillId="17" borderId="0" numFmtId="4" xfId="5" applyNumberFormat="1" applyFont="1" applyFill="1" applyAlignment="1">
      <alignment horizontal="center" vertical="center"/>
    </xf>
    <xf fontId="8" fillId="17" borderId="0" numFmtId="1" xfId="5" applyNumberFormat="1" applyFont="1" applyFill="1" applyAlignment="1">
      <alignment vertical="center"/>
    </xf>
    <xf fontId="8" fillId="17" borderId="0" numFmtId="173" xfId="5" applyNumberFormat="1" applyFont="1" applyFill="1" applyAlignment="1">
      <alignment vertical="center"/>
    </xf>
    <xf fontId="8" fillId="17" borderId="8" numFmtId="172" xfId="1" applyNumberFormat="1" applyFont="1" applyFill="1" applyBorder="1" applyAlignment="1" applyProtection="1">
      <alignment vertical="center"/>
    </xf>
    <xf fontId="7" fillId="17" borderId="0" numFmtId="4" xfId="5" applyNumberFormat="1" applyFont="1" applyFill="1" applyAlignment="1">
      <alignment horizontal="center" vertical="center"/>
    </xf>
    <xf fontId="8" fillId="17" borderId="0" numFmtId="10" xfId="5" applyNumberFormat="1" applyFont="1" applyFill="1" applyAlignment="1">
      <alignment horizontal="right" vertical="center"/>
    </xf>
    <xf fontId="8" fillId="17" borderId="0" numFmtId="174" xfId="5" applyNumberFormat="1" applyFont="1" applyFill="1" applyAlignment="1" applyProtection="1">
      <alignment horizontal="right" vertical="center"/>
      <protection locked="0"/>
    </xf>
    <xf fontId="8" fillId="17" borderId="0" numFmtId="4" xfId="5" applyNumberFormat="1" applyFont="1" applyFill="1" applyAlignment="1">
      <alignment vertical="center"/>
    </xf>
    <xf fontId="20" fillId="17" borderId="0" numFmtId="0" xfId="7" applyFont="1" applyFill="1"/>
    <xf fontId="8" fillId="17" borderId="0" numFmtId="10" xfId="5" applyNumberFormat="1" applyFont="1" applyFill="1" applyAlignment="1">
      <alignment vertical="center"/>
    </xf>
    <xf fontId="8" fillId="17" borderId="0" numFmtId="167" xfId="5" applyNumberFormat="1" applyFont="1" applyFill="1" applyAlignment="1">
      <alignment vertical="center"/>
    </xf>
    <xf fontId="7" fillId="17" borderId="7" numFmtId="4" xfId="5" applyNumberFormat="1" applyFont="1" applyFill="1" applyBorder="1" applyAlignment="1">
      <alignment vertical="center"/>
    </xf>
    <xf fontId="7" fillId="17" borderId="8" numFmtId="172" xfId="1" applyNumberFormat="1" applyFont="1" applyFill="1" applyBorder="1" applyAlignment="1" applyProtection="1">
      <alignment vertical="center"/>
    </xf>
    <xf fontId="8" fillId="17" borderId="0" numFmtId="166" xfId="5" applyNumberFormat="1" applyFont="1" applyFill="1" applyAlignment="1">
      <alignment vertical="center"/>
    </xf>
    <xf fontId="8" fillId="17" borderId="7" numFmtId="4" xfId="5" applyNumberFormat="1" applyFont="1" applyFill="1" applyBorder="1" applyAlignment="1">
      <alignment vertical="center" wrapText="1"/>
    </xf>
    <xf fontId="8" fillId="17" borderId="0" numFmtId="4" xfId="5" applyNumberFormat="1" applyFont="1" applyFill="1" applyAlignment="1">
      <alignment vertical="center" wrapText="1"/>
    </xf>
    <xf fontId="8" fillId="17" borderId="0" numFmtId="49" xfId="5" applyNumberFormat="1" applyFont="1" applyFill="1" applyAlignment="1">
      <alignment horizontal="center" vertical="center"/>
    </xf>
    <xf fontId="8" fillId="17" borderId="0" numFmtId="175" xfId="5" applyNumberFormat="1" applyFont="1" applyFill="1" applyAlignment="1">
      <alignment vertical="center"/>
    </xf>
    <xf fontId="8" fillId="17" borderId="0" numFmtId="1" xfId="5" applyNumberFormat="1" applyFont="1" applyFill="1" applyAlignment="1" applyProtection="1">
      <alignment vertical="center"/>
      <protection locked="0"/>
    </xf>
    <xf fontId="8" fillId="17" borderId="0" numFmtId="167" xfId="5" applyNumberFormat="1" applyFont="1" applyFill="1" applyAlignment="1" applyProtection="1">
      <alignment vertical="center"/>
      <protection locked="0"/>
    </xf>
    <xf fontId="8" fillId="17" borderId="0" numFmtId="166" xfId="5" applyNumberFormat="1" applyFont="1" applyFill="1" applyAlignment="1" applyProtection="1">
      <alignment vertical="center"/>
      <protection locked="0"/>
    </xf>
    <xf fontId="8" fillId="17" borderId="33" numFmtId="4" xfId="5" applyNumberFormat="1" applyFont="1" applyFill="1" applyBorder="1" applyAlignment="1">
      <alignment vertical="center"/>
    </xf>
    <xf fontId="8" fillId="17" borderId="32" numFmtId="4" xfId="5" applyNumberFormat="1" applyFont="1" applyFill="1" applyBorder="1" applyAlignment="1">
      <alignment horizontal="center" vertical="center"/>
    </xf>
    <xf fontId="8" fillId="17" borderId="32" numFmtId="176" xfId="5" applyNumberFormat="1" applyFont="1" applyFill="1" applyBorder="1" applyAlignment="1" applyProtection="1">
      <alignment vertical="center"/>
      <protection locked="0"/>
    </xf>
    <xf fontId="8" fillId="17" borderId="32" numFmtId="167" xfId="5" applyNumberFormat="1" applyFont="1" applyFill="1" applyBorder="1" applyAlignment="1" applyProtection="1">
      <alignment vertical="center"/>
      <protection locked="0"/>
    </xf>
    <xf fontId="8" fillId="17" borderId="34" numFmtId="172" xfId="1" applyNumberFormat="1" applyFont="1" applyFill="1" applyBorder="1" applyAlignment="1" applyProtection="1">
      <alignment vertical="center"/>
    </xf>
    <xf fontId="7" fillId="0" borderId="24" numFmtId="4" xfId="5" applyNumberFormat="1" applyFont="1" applyBorder="1" applyAlignment="1">
      <alignment vertical="center"/>
    </xf>
    <xf fontId="7" fillId="0" borderId="22" numFmtId="4" xfId="5" applyNumberFormat="1" applyFont="1" applyBorder="1" applyAlignment="1">
      <alignment horizontal="center" vertical="center"/>
    </xf>
    <xf fontId="7" fillId="0" borderId="22" numFmtId="4" xfId="5" applyNumberFormat="1" applyFont="1" applyBorder="1" applyAlignment="1">
      <alignment vertical="center"/>
    </xf>
    <xf fontId="7" fillId="0" borderId="25" numFmtId="172" xfId="1" applyNumberFormat="1" applyFont="1" applyBorder="1" applyAlignment="1" applyProtection="1">
      <alignment shrinkToFit="1" vertical="center"/>
    </xf>
    <xf fontId="0" fillId="0" borderId="7" numFmtId="0" xfId="5" applyBorder="1"/>
    <xf fontId="0" fillId="0" borderId="8" numFmtId="0" xfId="5" applyBorder="1"/>
    <xf fontId="8" fillId="0" borderId="7" numFmtId="4" xfId="5" applyNumberFormat="1" applyFont="1" applyBorder="1" applyAlignment="1">
      <alignment vertical="center"/>
    </xf>
    <xf fontId="8" fillId="0" borderId="0" numFmtId="4" xfId="5" applyNumberFormat="1" applyFont="1" applyAlignment="1">
      <alignment horizontal="center" vertical="center"/>
    </xf>
    <xf fontId="8" fillId="0" borderId="8" numFmtId="172" xfId="1" applyNumberFormat="1" applyFont="1" applyBorder="1" applyAlignment="1" applyProtection="1">
      <alignment vertical="center"/>
    </xf>
    <xf fontId="8" fillId="17" borderId="0" numFmtId="177" xfId="5" applyNumberFormat="1" applyFont="1" applyFill="1" applyAlignment="1" applyProtection="1">
      <alignment horizontal="right" vertical="center"/>
      <protection locked="0"/>
    </xf>
    <xf fontId="7" fillId="0" borderId="8" numFmtId="172" xfId="1" applyNumberFormat="1" applyFont="1" applyBorder="1" applyAlignment="1" applyProtection="1">
      <alignment vertical="center"/>
    </xf>
    <xf fontId="8" fillId="0" borderId="7" numFmtId="4" xfId="5" applyNumberFormat="1" applyFont="1" applyBorder="1" applyAlignment="1">
      <alignment vertical="center" wrapText="1"/>
    </xf>
    <xf fontId="8" fillId="0" borderId="0" numFmtId="4" xfId="5" applyNumberFormat="1" applyFont="1" applyAlignment="1">
      <alignment vertical="center" wrapText="1"/>
    </xf>
    <xf fontId="8" fillId="0" borderId="0" numFmtId="49" xfId="5" applyNumberFormat="1" applyFont="1" applyAlignment="1">
      <alignment horizontal="center" vertical="center"/>
    </xf>
    <xf fontId="8" fillId="0" borderId="33" numFmtId="4" xfId="5" applyNumberFormat="1" applyFont="1" applyBorder="1" applyAlignment="1">
      <alignment vertical="center"/>
    </xf>
    <xf fontId="8" fillId="0" borderId="32" numFmtId="4" xfId="5" applyNumberFormat="1" applyFont="1" applyBorder="1" applyAlignment="1">
      <alignment horizontal="center" vertical="center"/>
    </xf>
    <xf fontId="8" fillId="0" borderId="34" numFmtId="172" xfId="1" applyNumberFormat="1" applyFont="1" applyBorder="1" applyAlignment="1" applyProtection="1">
      <alignment vertical="center"/>
    </xf>
    <xf fontId="22" fillId="16" borderId="35" numFmtId="0" xfId="5" applyFont="1" applyFill="1" applyBorder="1" applyAlignment="1">
      <alignment horizontal="center" vertical="center" wrapText="1"/>
    </xf>
    <xf fontId="22" fillId="16" borderId="36" numFmtId="0" xfId="5" applyFont="1" applyFill="1" applyBorder="1" applyAlignment="1">
      <alignment horizontal="center" vertical="center" wrapText="1"/>
    </xf>
    <xf fontId="22" fillId="16" borderId="37" numFmtId="0" xfId="5" applyFont="1" applyFill="1" applyBorder="1" applyAlignment="1">
      <alignment horizontal="center" vertical="center" wrapText="1"/>
    </xf>
    <xf fontId="8" fillId="0" borderId="38" numFmtId="4" xfId="5" applyNumberFormat="1" applyFont="1" applyBorder="1" applyAlignment="1">
      <alignment vertical="center"/>
    </xf>
    <xf fontId="8" fillId="0" borderId="39" numFmtId="4" xfId="5" applyNumberFormat="1" applyFont="1" applyBorder="1" applyAlignment="1">
      <alignment horizontal="center" vertical="center"/>
    </xf>
    <xf fontId="8" fillId="17" borderId="39" numFmtId="1" xfId="5" applyNumberFormat="1" applyFont="1" applyFill="1" applyBorder="1" applyAlignment="1">
      <alignment vertical="center"/>
    </xf>
    <xf fontId="8" fillId="17" borderId="39" numFmtId="4" xfId="5" applyNumberFormat="1" applyFont="1" applyFill="1" applyBorder="1" applyAlignment="1">
      <alignment horizontal="center" vertical="center"/>
    </xf>
    <xf fontId="8" fillId="17" borderId="39" numFmtId="173" xfId="5" applyNumberFormat="1" applyFont="1" applyFill="1" applyBorder="1" applyAlignment="1">
      <alignment vertical="center"/>
    </xf>
    <xf fontId="8" fillId="0" borderId="40" numFmtId="172" xfId="1" applyNumberFormat="1" applyFont="1" applyBorder="1" applyAlignment="1" applyProtection="1">
      <alignment vertical="center"/>
    </xf>
    <xf fontId="7" fillId="0" borderId="33" numFmtId="4" xfId="5" applyNumberFormat="1" applyFont="1" applyBorder="1" applyAlignment="1">
      <alignment vertical="center"/>
    </xf>
    <xf fontId="7" fillId="0" borderId="32" numFmtId="4" xfId="5" applyNumberFormat="1" applyFont="1" applyBorder="1" applyAlignment="1">
      <alignment horizontal="center" vertical="center"/>
    </xf>
    <xf fontId="7" fillId="0" borderId="32" numFmtId="4" xfId="5" applyNumberFormat="1" applyFont="1" applyBorder="1" applyAlignment="1">
      <alignment vertical="center"/>
    </xf>
    <xf fontId="7" fillId="0" borderId="34" numFmtId="172" xfId="1" applyNumberFormat="1" applyFont="1" applyBorder="1" applyAlignment="1" applyProtection="1">
      <alignment shrinkToFit="1" vertical="center"/>
    </xf>
    <xf fontId="8" fillId="17" borderId="0" numFmtId="9" xfId="12" applyNumberFormat="1" applyFont="1" applyFill="1" applyAlignment="1" applyProtection="1">
      <alignment vertical="center"/>
    </xf>
    <xf fontId="8" fillId="17" borderId="0" numFmtId="9" xfId="5" applyNumberFormat="1" applyFont="1" applyFill="1" applyAlignment="1">
      <alignment horizontal="right" vertical="center"/>
    </xf>
    <xf fontId="22" fillId="16" borderId="35" numFmtId="0" xfId="5" applyFont="1" applyFill="1" applyBorder="1" applyAlignment="1">
      <alignment horizontal="center"/>
    </xf>
    <xf fontId="22" fillId="16" borderId="36" numFmtId="0" xfId="5" applyFont="1" applyFill="1" applyBorder="1" applyAlignment="1">
      <alignment horizontal="center"/>
    </xf>
    <xf fontId="22" fillId="16" borderId="37" numFmtId="0" xfId="5" applyFont="1" applyFill="1" applyBorder="1" applyAlignment="1">
      <alignment horizontal="center"/>
    </xf>
    <xf fontId="0" fillId="0" borderId="24" numFmtId="0" xfId="5" applyBorder="1" applyAlignment="1">
      <alignment horizontal="center" vertical="center"/>
    </xf>
    <xf fontId="0" fillId="0" borderId="22" numFmtId="0" xfId="5" applyBorder="1" applyAlignment="1">
      <alignment horizontal="center" vertical="center"/>
    </xf>
    <xf fontId="0" fillId="0" borderId="25" numFmtId="0" xfId="5" applyBorder="1" applyAlignment="1">
      <alignment horizontal="center" vertical="center" wrapText="1"/>
    </xf>
    <xf fontId="0" fillId="0" borderId="0" numFmtId="0" xfId="5" applyAlignment="1">
      <alignment horizontal="center"/>
    </xf>
    <xf fontId="0" fillId="0" borderId="39" numFmtId="167" xfId="5" applyNumberFormat="1" applyBorder="1" applyAlignment="1">
      <alignment horizontal="center"/>
    </xf>
    <xf fontId="0" fillId="0" borderId="0" numFmtId="167" xfId="5" applyNumberFormat="1" applyAlignment="1">
      <alignment horizontal="center"/>
    </xf>
    <xf fontId="0" fillId="0" borderId="0" numFmtId="164" xfId="5" applyNumberFormat="1"/>
    <xf fontId="0" fillId="0" borderId="8" numFmtId="167" xfId="5" applyNumberFormat="1" applyBorder="1" applyAlignment="1">
      <alignment horizontal="center"/>
    </xf>
    <xf fontId="22" fillId="0" borderId="41" numFmtId="0" xfId="5" applyFont="1" applyBorder="1" applyAlignment="1">
      <alignment horizontal="center"/>
    </xf>
    <xf fontId="22" fillId="0" borderId="42" numFmtId="0" xfId="5" applyFont="1" applyBorder="1" applyAlignment="1">
      <alignment horizontal="center"/>
    </xf>
    <xf fontId="22" fillId="0" borderId="43" numFmtId="164" xfId="5" applyNumberFormat="1" applyFont="1" applyBorder="1"/>
    <xf fontId="23" fillId="0" borderId="43" numFmtId="164" xfId="1" applyNumberFormat="1" applyFont="1" applyBorder="1" applyProtection="1"/>
    <xf fontId="23" fillId="0" borderId="44" numFmtId="167" xfId="1" applyNumberFormat="1" applyFont="1" applyBorder="1" applyAlignment="1" applyProtection="1">
      <alignment horizontal="center"/>
    </xf>
    <xf fontId="0" fillId="0" borderId="0" numFmtId="178" xfId="5" applyNumberFormat="1"/>
    <xf fontId="16" fillId="4" borderId="5" numFmtId="4" xfId="0" applyNumberFormat="1" applyFont="1" applyFill="1" applyBorder="1" applyAlignment="1">
      <alignment horizontal="center" vertical="center" wrapText="1"/>
    </xf>
    <xf fontId="24" fillId="0" borderId="0" numFmtId="4" xfId="0" applyNumberFormat="1" applyFont="1" applyAlignment="1">
      <alignment vertical="center" wrapText="1"/>
    </xf>
    <xf fontId="25" fillId="0" borderId="45" numFmtId="179" xfId="0" applyNumberFormat="1" applyFont="1" applyBorder="1" applyAlignment="1">
      <alignment horizontal="left" vertical="center"/>
    </xf>
    <xf fontId="25" fillId="0" borderId="46" numFmtId="179" xfId="0" applyNumberFormat="1" applyFont="1" applyBorder="1" applyAlignment="1">
      <alignment horizontal="left" vertical="center"/>
    </xf>
    <xf fontId="26" fillId="0" borderId="47" numFmtId="4" xfId="0" applyNumberFormat="1" applyFont="1" applyBorder="1" applyAlignment="1">
      <alignment vertical="center"/>
    </xf>
    <xf fontId="26" fillId="0" borderId="48" numFmtId="4" xfId="0" applyNumberFormat="1" applyFont="1" applyBorder="1" applyAlignment="1">
      <alignment horizontal="left" vertical="center"/>
    </xf>
    <xf fontId="26" fillId="0" borderId="49" numFmtId="10" xfId="0" applyNumberFormat="1" applyFont="1" applyBorder="1" applyAlignment="1">
      <alignment horizontal="right" vertical="center"/>
    </xf>
    <xf fontId="25" fillId="0" borderId="28" numFmtId="4" xfId="0" applyNumberFormat="1" applyFont="1" applyBorder="1" applyAlignment="1">
      <alignment horizontal="center" vertical="center"/>
    </xf>
    <xf fontId="25" fillId="0" borderId="26" numFmtId="10" xfId="0" applyNumberFormat="1" applyFont="1" applyBorder="1" applyAlignment="1">
      <alignment horizontal="right" vertical="center"/>
    </xf>
    <xf fontId="25" fillId="0" borderId="0" numFmtId="4" xfId="0" applyNumberFormat="1" applyFont="1" applyAlignment="1">
      <alignment vertical="center"/>
    </xf>
    <xf fontId="25" fillId="0" borderId="0" numFmtId="10" xfId="0" applyNumberFormat="1" applyFont="1" applyAlignment="1">
      <alignment horizontal="right" vertical="center"/>
    </xf>
    <xf fontId="26" fillId="0" borderId="47" numFmtId="10" xfId="0" applyNumberFormat="1" applyFont="1" applyBorder="1" applyAlignment="1">
      <alignment horizontal="right" vertical="center"/>
    </xf>
    <xf fontId="1" fillId="0" borderId="0" numFmtId="0" xfId="0" applyFont="1"/>
    <xf fontId="25" fillId="0" borderId="50" numFmtId="179" xfId="0" applyNumberFormat="1" applyFont="1" applyBorder="1" applyAlignment="1">
      <alignment horizontal="left" vertical="center"/>
    </xf>
    <xf fontId="26" fillId="0" borderId="0" numFmtId="4" xfId="0" applyNumberFormat="1" applyFont="1" applyAlignment="1">
      <alignment vertical="center"/>
    </xf>
    <xf fontId="26" fillId="0" borderId="0" numFmtId="10" xfId="0" applyNumberFormat="1" applyFont="1" applyAlignment="1">
      <alignment horizontal="right" vertical="center"/>
    </xf>
    <xf fontId="25" fillId="0" borderId="51" numFmtId="179" xfId="0" applyNumberFormat="1" applyFont="1" applyBorder="1" applyAlignment="1">
      <alignment horizontal="left" vertical="center"/>
    </xf>
    <xf fontId="25" fillId="0" borderId="28" numFmtId="4" xfId="0" applyNumberFormat="1" applyFont="1" applyBorder="1" applyAlignment="1">
      <alignment horizontal="left" vertical="center"/>
    </xf>
    <xf fontId="25" fillId="0" borderId="52" numFmtId="4" xfId="0" applyNumberFormat="1" applyFont="1" applyBorder="1" applyAlignment="1">
      <alignment vertical="center"/>
    </xf>
    <xf fontId="25" fillId="0" borderId="53" numFmtId="4" xfId="0" applyNumberFormat="1" applyFont="1" applyBorder="1" applyAlignment="1">
      <alignment vertical="center"/>
    </xf>
    <xf fontId="25" fillId="0" borderId="54" numFmtId="10" xfId="0" applyNumberFormat="1" applyFont="1" applyBorder="1" applyAlignment="1">
      <alignment vertical="center"/>
    </xf>
    <xf fontId="27" fillId="0" borderId="55" numFmtId="4" xfId="0" applyNumberFormat="1" applyFont="1" applyBorder="1" applyAlignment="1">
      <alignment vertical="center"/>
    </xf>
    <xf fontId="27" fillId="0" borderId="56" numFmtId="4" xfId="0" applyNumberFormat="1" applyFont="1" applyBorder="1" applyAlignment="1">
      <alignment vertical="center"/>
    </xf>
    <xf fontId="1" fillId="0" borderId="57" numFmtId="0" xfId="0" applyFont="1" applyBorder="1"/>
    <xf fontId="28" fillId="0" borderId="0" numFmtId="4" xfId="0" applyNumberFormat="1" applyFont="1" applyAlignment="1">
      <alignment vertical="center"/>
    </xf>
    <xf fontId="29" fillId="4" borderId="1" numFmtId="4" xfId="5" applyNumberFormat="1" applyFont="1" applyFill="1" applyBorder="1" applyAlignment="1">
      <alignment horizontal="center" vertical="center" wrapText="1"/>
    </xf>
    <xf fontId="29" fillId="4" borderId="2" numFmtId="4" xfId="5" applyNumberFormat="1" applyFont="1" applyFill="1" applyBorder="1" applyAlignment="1">
      <alignment horizontal="center" vertical="center" wrapText="1"/>
    </xf>
    <xf fontId="29" fillId="4" borderId="3" numFmtId="4" xfId="5" applyNumberFormat="1" applyFont="1" applyFill="1" applyBorder="1" applyAlignment="1">
      <alignment horizontal="center" vertical="center" wrapText="1"/>
    </xf>
    <xf fontId="30" fillId="0" borderId="7" numFmtId="4" xfId="5" applyNumberFormat="1" applyFont="1" applyBorder="1" applyAlignment="1">
      <alignment horizontal="center" vertical="center"/>
    </xf>
    <xf fontId="30" fillId="0" borderId="0" numFmtId="4" xfId="5" applyNumberFormat="1" applyFont="1" applyAlignment="1">
      <alignment horizontal="center" vertical="center"/>
    </xf>
    <xf fontId="9" fillId="0" borderId="0" numFmtId="0" xfId="5" applyFont="1"/>
    <xf fontId="9" fillId="0" borderId="8" numFmtId="0" xfId="5" applyFont="1" applyBorder="1"/>
    <xf fontId="31" fillId="16" borderId="15" numFmtId="4" xfId="5" applyNumberFormat="1" applyFont="1" applyFill="1" applyBorder="1" applyAlignment="1">
      <alignment horizontal="center" vertical="center"/>
    </xf>
    <xf fontId="31" fillId="16" borderId="16" numFmtId="4" xfId="5" applyNumberFormat="1" applyFont="1" applyFill="1" applyBorder="1" applyAlignment="1">
      <alignment horizontal="center" vertical="center"/>
    </xf>
    <xf fontId="31" fillId="16" borderId="17" numFmtId="4" xfId="5" applyNumberFormat="1" applyFont="1" applyFill="1" applyBorder="1" applyAlignment="1">
      <alignment horizontal="center" vertical="center"/>
    </xf>
    <xf fontId="2" fillId="0" borderId="15" numFmtId="4" xfId="5" applyNumberFormat="1" applyFont="1" applyBorder="1" applyAlignment="1">
      <alignment horizontal="center" vertical="center"/>
    </xf>
    <xf fontId="2" fillId="0" borderId="16" numFmtId="4" xfId="5" applyNumberFormat="1" applyFont="1" applyBorder="1" applyAlignment="1">
      <alignment horizontal="center" vertical="center"/>
    </xf>
    <xf fontId="2" fillId="0" borderId="17" numFmtId="4" xfId="5" applyNumberFormat="1" applyFont="1" applyBorder="1" applyAlignment="1">
      <alignment horizontal="center" vertical="center"/>
    </xf>
    <xf fontId="2" fillId="5" borderId="15" numFmtId="179" xfId="5" applyNumberFormat="1" applyFont="1" applyFill="1" applyBorder="1" applyAlignment="1">
      <alignment vertical="center"/>
    </xf>
    <xf fontId="2" fillId="5" borderId="16" numFmtId="179" xfId="5" applyNumberFormat="1" applyFont="1" applyFill="1" applyBorder="1" applyAlignment="1">
      <alignment vertical="center"/>
    </xf>
    <xf fontId="2" fillId="6" borderId="16" numFmtId="4" xfId="5" applyNumberFormat="1" applyFont="1" applyFill="1" applyBorder="1" applyAlignment="1" applyProtection="1">
      <alignment horizontal="center" vertical="center"/>
      <protection locked="0"/>
    </xf>
    <xf fontId="2" fillId="5" borderId="16" numFmtId="4" xfId="5" applyNumberFormat="1" applyFont="1" applyFill="1" applyBorder="1" applyAlignment="1">
      <alignment horizontal="center" vertical="center"/>
    </xf>
    <xf fontId="2" fillId="5" borderId="17" numFmtId="4" xfId="5" applyNumberFormat="1" applyFont="1" applyFill="1" applyBorder="1" applyAlignment="1">
      <alignment horizontal="center" vertical="center"/>
    </xf>
    <xf fontId="2" fillId="6" borderId="58" numFmtId="4" xfId="5" applyNumberFormat="1" applyFont="1" applyFill="1" applyBorder="1" applyAlignment="1" applyProtection="1">
      <alignment horizontal="center" vertical="center"/>
      <protection locked="0"/>
    </xf>
    <xf fontId="2" fillId="5" borderId="15" numFmtId="179" xfId="5" applyNumberFormat="1" applyFont="1" applyFill="1" applyBorder="1" applyAlignment="1">
      <alignment horizontal="left" vertical="center"/>
    </xf>
    <xf fontId="2" fillId="5" borderId="16" numFmtId="179" xfId="5" applyNumberFormat="1" applyFont="1" applyFill="1" applyBorder="1" applyAlignment="1">
      <alignment horizontal="left" vertical="center"/>
    </xf>
    <xf fontId="2" fillId="6" borderId="21" numFmtId="4" xfId="5" applyNumberFormat="1" applyFont="1" applyFill="1" applyBorder="1" applyAlignment="1" applyProtection="1">
      <alignment horizontal="center" vertical="center"/>
      <protection locked="0"/>
    </xf>
    <xf fontId="2" fillId="5" borderId="24" numFmtId="179" xfId="5" applyNumberFormat="1" applyFont="1" applyFill="1" applyBorder="1" applyAlignment="1">
      <alignment horizontal="center" vertical="center"/>
    </xf>
    <xf fontId="2" fillId="5" borderId="21" numFmtId="179" xfId="5" applyNumberFormat="1" applyFont="1" applyFill="1" applyBorder="1" applyAlignment="1">
      <alignment horizontal="center" vertical="center"/>
    </xf>
    <xf fontId="2" fillId="5" borderId="22" numFmtId="179" xfId="5" applyNumberFormat="1" applyFont="1" applyFill="1" applyBorder="1" applyAlignment="1">
      <alignment vertical="center"/>
    </xf>
    <xf fontId="2" fillId="5" borderId="23" numFmtId="179" xfId="5" applyNumberFormat="1" applyFont="1" applyFill="1" applyBorder="1" applyAlignment="1">
      <alignment vertical="center"/>
    </xf>
    <xf fontId="31" fillId="5" borderId="24" numFmtId="179" xfId="5" applyNumberFormat="1" applyFont="1" applyFill="1" applyBorder="1" applyAlignment="1">
      <alignment horizontal="center" vertical="center"/>
    </xf>
    <xf fontId="31" fillId="5" borderId="21" numFmtId="179" xfId="5" applyNumberFormat="1" applyFont="1" applyFill="1" applyBorder="1" applyAlignment="1">
      <alignment horizontal="center" vertical="center"/>
    </xf>
    <xf fontId="31" fillId="5" borderId="22" numFmtId="179" xfId="5" applyNumberFormat="1" applyFont="1" applyFill="1" applyBorder="1" applyAlignment="1">
      <alignment vertical="center"/>
    </xf>
    <xf fontId="31" fillId="5" borderId="23" numFmtId="179" xfId="5" applyNumberFormat="1" applyFont="1" applyFill="1" applyBorder="1" applyAlignment="1">
      <alignment vertical="center"/>
    </xf>
    <xf fontId="31" fillId="5" borderId="16" numFmtId="4" xfId="5" applyNumberFormat="1" applyFont="1" applyFill="1" applyBorder="1" applyAlignment="1">
      <alignment horizontal="center" vertical="center"/>
    </xf>
    <xf fontId="31" fillId="5" borderId="17" numFmtId="4" xfId="5" applyNumberFormat="1" applyFont="1" applyFill="1" applyBorder="1" applyAlignment="1">
      <alignment horizontal="center" vertical="center"/>
    </xf>
    <xf fontId="2" fillId="5" borderId="7" numFmtId="179" xfId="5" applyNumberFormat="1" applyFont="1" applyFill="1" applyBorder="1" applyAlignment="1">
      <alignment vertical="center"/>
    </xf>
    <xf fontId="2" fillId="5" borderId="0" numFmtId="179" xfId="5" applyNumberFormat="1" applyFont="1" applyFill="1" applyAlignment="1">
      <alignment vertical="center"/>
    </xf>
    <xf fontId="2" fillId="5" borderId="8" numFmtId="179" xfId="5" applyNumberFormat="1" applyFont="1" applyFill="1" applyBorder="1" applyAlignment="1">
      <alignment vertical="center"/>
    </xf>
    <xf fontId="2" fillId="5" borderId="15" numFmtId="4" xfId="5" applyNumberFormat="1" applyFont="1" applyFill="1" applyBorder="1" applyAlignment="1">
      <alignment horizontal="center" vertical="center"/>
    </xf>
    <xf fontId="31" fillId="0" borderId="18" numFmtId="179" xfId="5" applyNumberFormat="1" applyFont="1" applyBorder="1" applyAlignment="1">
      <alignment vertical="center"/>
    </xf>
    <xf fontId="31" fillId="0" borderId="19" numFmtId="179" xfId="5" applyNumberFormat="1" applyFont="1" applyBorder="1" applyAlignment="1">
      <alignment vertical="center"/>
    </xf>
    <xf fontId="31" fillId="0" borderId="19" numFmtId="4" xfId="5" applyNumberFormat="1" applyFont="1" applyBorder="1" applyAlignment="1">
      <alignment horizontal="center" vertical="center"/>
    </xf>
    <xf fontId="31" fillId="0" borderId="20" numFmtId="4" xfId="5" applyNumberFormat="1" applyFont="1" applyBorder="1" applyAlignment="1">
      <alignment horizontal="center" vertical="center"/>
    </xf>
    <xf fontId="2" fillId="0" borderId="0" numFmtId="179" xfId="5" applyNumberFormat="1" applyFont="1" applyAlignment="1">
      <alignment vertical="center"/>
    </xf>
    <xf fontId="21" fillId="4" borderId="1" numFmtId="0" xfId="0" applyFont="1" applyFill="1" applyBorder="1" applyAlignment="1">
      <alignment horizontal="center"/>
    </xf>
    <xf fontId="21" fillId="4" borderId="2" numFmtId="0" xfId="0" applyFont="1" applyFill="1" applyBorder="1" applyAlignment="1">
      <alignment horizontal="center"/>
    </xf>
    <xf fontId="21" fillId="4" borderId="3" numFmtId="0" xfId="0" applyFont="1" applyFill="1" applyBorder="1" applyAlignment="1">
      <alignment horizontal="center"/>
    </xf>
    <xf fontId="1" fillId="0" borderId="7" numFmtId="0" xfId="0" applyFont="1" applyBorder="1"/>
    <xf fontId="0" fillId="5" borderId="8" numFmtId="0" xfId="0" applyFill="1" applyBorder="1" applyAlignment="1">
      <alignment horizontal="center"/>
    </xf>
    <xf fontId="1" fillId="0" borderId="7" numFmtId="0" xfId="0" applyFont="1" applyBorder="1" applyAlignment="1">
      <alignment horizontal="right"/>
    </xf>
    <xf fontId="1" fillId="0" borderId="0" numFmtId="0" xfId="0" applyFont="1" applyAlignment="1">
      <alignment horizontal="right"/>
    </xf>
    <xf fontId="1" fillId="6" borderId="8" numFmtId="10" xfId="10" applyNumberFormat="1" applyFont="1" applyFill="1" applyBorder="1" applyAlignment="1" applyProtection="1">
      <alignment horizontal="center"/>
    </xf>
    <xf fontId="0" fillId="0" borderId="0" numFmtId="9" xfId="0" applyNumberFormat="1" applyAlignment="1">
      <alignment horizontal="center" vertical="center"/>
    </xf>
    <xf fontId="0" fillId="0" borderId="0" numFmtId="10" xfId="0" applyNumberFormat="1"/>
    <xf fontId="32" fillId="5" borderId="8" numFmtId="0" xfId="0" applyFont="1" applyFill="1" applyBorder="1" applyAlignment="1">
      <alignment horizontal="center"/>
    </xf>
    <xf fontId="0" fillId="0" borderId="0" numFmtId="0" xfId="0" applyAlignment="1">
      <alignment horizontal="center" vertical="center"/>
    </xf>
    <xf fontId="0" fillId="0" borderId="0" numFmtId="10" xfId="0" applyNumberFormat="1" applyAlignment="1">
      <alignment horizontal="center" vertical="center"/>
    </xf>
    <xf fontId="26" fillId="0" borderId="7" numFmtId="0" xfId="0" applyFont="1" applyBorder="1" applyAlignment="1">
      <alignment horizontal="center" vertical="center" wrapText="1"/>
    </xf>
    <xf fontId="26" fillId="0" borderId="0" numFmtId="0" xfId="0" applyFont="1" applyAlignment="1">
      <alignment horizontal="center" vertical="center" wrapText="1"/>
    </xf>
    <xf fontId="26" fillId="0" borderId="8" numFmtId="0" xfId="0" applyFont="1" applyBorder="1" applyAlignment="1">
      <alignment horizontal="center" vertical="center" wrapText="1"/>
    </xf>
    <xf fontId="1" fillId="0" borderId="15" numFmtId="0" xfId="0" applyFont="1" applyBorder="1" applyAlignment="1">
      <alignment horizontal="center"/>
    </xf>
    <xf fontId="1" fillId="0" borderId="16" numFmtId="0" xfId="0" applyFont="1" applyBorder="1" applyAlignment="1">
      <alignment horizontal="center"/>
    </xf>
    <xf fontId="1" fillId="0" borderId="17" numFmtId="0" xfId="0" applyFont="1" applyBorder="1" applyAlignment="1">
      <alignment horizontal="center"/>
    </xf>
    <xf fontId="1" fillId="0" borderId="15" numFmtId="0" xfId="0" applyFont="1" applyBorder="1" applyAlignment="1">
      <alignment horizontal="right" indent="1"/>
    </xf>
    <xf fontId="1" fillId="0" borderId="16" numFmtId="0" xfId="0" applyFont="1" applyBorder="1" applyAlignment="1">
      <alignment horizontal="right" indent="1"/>
    </xf>
    <xf fontId="1" fillId="0" borderId="17" numFmtId="180" xfId="15" applyNumberFormat="1" applyFont="1" applyBorder="1" applyAlignment="1" applyProtection="1">
      <alignment horizontal="center" vertical="center"/>
    </xf>
    <xf fontId="0" fillId="0" borderId="0" numFmtId="181" xfId="0" applyNumberFormat="1"/>
    <xf fontId="0" fillId="0" borderId="0" numFmtId="180" xfId="0" applyNumberFormat="1"/>
    <xf fontId="1" fillId="0" borderId="0" numFmtId="10" xfId="10" applyNumberFormat="1" applyFont="1" applyProtection="1"/>
    <xf fontId="0" fillId="0" borderId="8" numFmtId="0" xfId="0" applyBorder="1" applyAlignment="1">
      <alignment horizontal="center"/>
    </xf>
    <xf fontId="33" fillId="0" borderId="15" numFmtId="0" xfId="0" applyFont="1" applyBorder="1" applyAlignment="1">
      <alignment horizontal="center" vertical="center"/>
    </xf>
    <xf fontId="33" fillId="0" borderId="16" numFmtId="0" xfId="0" applyFont="1" applyBorder="1" applyAlignment="1">
      <alignment horizontal="center" vertical="center"/>
    </xf>
    <xf fontId="34" fillId="0" borderId="16" numFmtId="182" xfId="10" applyNumberFormat="1" applyFont="1" applyBorder="1" applyAlignment="1" applyProtection="1">
      <alignment horizontal="center" vertical="center"/>
    </xf>
    <xf fontId="34" fillId="0" borderId="17" numFmtId="182" xfId="10" applyNumberFormat="1" applyFont="1" applyBorder="1" applyAlignment="1" applyProtection="1">
      <alignment horizontal="center" vertical="center"/>
    </xf>
    <xf fontId="1" fillId="0" borderId="15" numFmtId="0" xfId="0" applyFont="1" applyBorder="1" applyAlignment="1">
      <alignment horizontal="center" vertical="center"/>
    </xf>
    <xf fontId="1" fillId="0" borderId="16" numFmtId="0" xfId="0" applyFont="1" applyBorder="1" applyAlignment="1">
      <alignment horizontal="center" vertical="center"/>
    </xf>
    <xf fontId="1" fillId="0" borderId="17" numFmtId="0" xfId="0" applyFont="1" applyBorder="1" applyAlignment="1">
      <alignment horizontal="center" vertical="center"/>
    </xf>
    <xf fontId="1" fillId="0" borderId="16" numFmtId="10" xfId="0" applyNumberFormat="1" applyFont="1" applyBorder="1" applyAlignment="1">
      <alignment horizontal="center"/>
    </xf>
    <xf fontId="1" fillId="0" borderId="17" numFmtId="10" xfId="0" applyNumberFormat="1" applyFont="1" applyBorder="1" applyAlignment="1">
      <alignment horizontal="center"/>
    </xf>
    <xf fontId="35" fillId="0" borderId="15" numFmtId="0" xfId="0" applyFont="1" applyBorder="1" applyAlignment="1">
      <alignment horizontal="center" vertical="top" wrapText="1"/>
    </xf>
    <xf fontId="35" fillId="0" borderId="16" numFmtId="0" xfId="0" applyFont="1" applyBorder="1" applyAlignment="1">
      <alignment horizontal="center" vertical="top" wrapText="1"/>
    </xf>
    <xf fontId="35" fillId="0" borderId="17" numFmtId="0" xfId="0" applyFont="1" applyBorder="1" applyAlignment="1">
      <alignment horizontal="center" vertical="top" wrapText="1"/>
    </xf>
    <xf fontId="35" fillId="11" borderId="7" numFmtId="0" xfId="0" applyFont="1" applyFill="1" applyBorder="1" applyAlignment="1">
      <alignment horizontal="left" vertical="top" wrapText="1"/>
    </xf>
    <xf fontId="35" fillId="11" borderId="0" numFmtId="0" xfId="0" applyFont="1" applyFill="1" applyAlignment="1">
      <alignment horizontal="left" vertical="top" wrapText="1"/>
    </xf>
    <xf fontId="35" fillId="11" borderId="8" numFmtId="0" xfId="0" applyFont="1" applyFill="1" applyBorder="1" applyAlignment="1">
      <alignment horizontal="left" vertical="top" wrapText="1"/>
    </xf>
    <xf fontId="0" fillId="0" borderId="7" numFmtId="0" xfId="0" applyBorder="1"/>
    <xf fontId="11" fillId="0" borderId="7" numFmtId="0" xfId="0" applyFont="1" applyBorder="1"/>
    <xf fontId="28" fillId="6" borderId="0" numFmtId="10" xfId="0" applyNumberFormat="1" applyFont="1" applyFill="1" applyAlignment="1">
      <alignment horizontal="center" vertical="center" wrapText="1"/>
    </xf>
    <xf fontId="26" fillId="0" borderId="12" numFmtId="0" xfId="0" applyFont="1" applyBorder="1" applyAlignment="1">
      <alignment horizontal="center" vertical="center" wrapText="1"/>
    </xf>
    <xf fontId="28" fillId="6" borderId="13" numFmtId="10" xfId="0" applyNumberFormat="1" applyFont="1" applyFill="1" applyBorder="1" applyAlignment="1">
      <alignment horizontal="center" vertical="center" wrapText="1"/>
    </xf>
    <xf fontId="26" fillId="0" borderId="13" numFmtId="0" xfId="0" applyFont="1" applyBorder="1" applyAlignment="1">
      <alignment horizontal="center" vertical="center" wrapText="1"/>
    </xf>
    <xf fontId="26" fillId="0" borderId="14" numFmtId="0" xfId="0" applyFont="1" applyBorder="1" applyAlignment="1">
      <alignment horizontal="center" vertical="center" wrapText="1"/>
    </xf>
    <xf fontId="29" fillId="4" borderId="1" numFmtId="4" xfId="4" applyNumberFormat="1" applyFont="1" applyFill="1" applyBorder="1" applyAlignment="1">
      <alignment horizontal="center" vertical="center"/>
    </xf>
    <xf fontId="29" fillId="4" borderId="2" numFmtId="4" xfId="4" applyNumberFormat="1" applyFont="1" applyFill="1" applyBorder="1" applyAlignment="1">
      <alignment horizontal="center" vertical="center"/>
    </xf>
    <xf fontId="29" fillId="4" borderId="3" numFmtId="4" xfId="4" applyNumberFormat="1" applyFont="1" applyFill="1" applyBorder="1" applyAlignment="1">
      <alignment horizontal="center" vertical="center"/>
    </xf>
    <xf fontId="36" fillId="3" borderId="4" numFmtId="4" xfId="4" applyNumberFormat="1" applyFont="1" applyFill="1" applyBorder="1" applyAlignment="1">
      <alignment horizontal="center" vertical="center"/>
    </xf>
    <xf fontId="36" fillId="3" borderId="5" numFmtId="4" xfId="4" applyNumberFormat="1" applyFont="1" applyFill="1" applyBorder="1" applyAlignment="1">
      <alignment horizontal="center" vertical="center"/>
    </xf>
    <xf fontId="36" fillId="3" borderId="6" numFmtId="4" xfId="4" applyNumberFormat="1" applyFont="1" applyFill="1" applyBorder="1" applyAlignment="1">
      <alignment horizontal="center" vertical="center"/>
    </xf>
    <xf fontId="0" fillId="11" borderId="7" numFmtId="0" xfId="5" applyFill="1" applyBorder="1" applyAlignment="1">
      <alignment horizontal="center"/>
    </xf>
    <xf fontId="0" fillId="11" borderId="0" numFmtId="0" xfId="5" applyFill="1" applyAlignment="1">
      <alignment horizontal="center"/>
    </xf>
    <xf fontId="0" fillId="11" borderId="8" numFmtId="0" xfId="5" applyFill="1" applyBorder="1" applyAlignment="1">
      <alignment horizontal="center"/>
    </xf>
    <xf fontId="7" fillId="11" borderId="59" numFmtId="4" xfId="4" applyNumberFormat="1" applyFont="1" applyFill="1" applyBorder="1" applyAlignment="1">
      <alignment vertical="center"/>
    </xf>
    <xf fontId="7" fillId="11" borderId="46" numFmtId="4" xfId="4" applyNumberFormat="1" applyFont="1" applyFill="1" applyBorder="1" applyAlignment="1">
      <alignment vertical="center" wrapText="1"/>
    </xf>
    <xf fontId="7" fillId="11" borderId="46" numFmtId="4" xfId="4" applyNumberFormat="1" applyFont="1" applyFill="1" applyBorder="1" applyAlignment="1">
      <alignment horizontal="right" vertical="center" wrapText="1"/>
    </xf>
    <xf fontId="7" fillId="11" borderId="60" numFmtId="17" xfId="4" applyNumberFormat="1" applyFont="1" applyFill="1" applyBorder="1" applyAlignment="1">
      <alignment horizontal="left" vertical="center" wrapText="1"/>
    </xf>
    <xf fontId="7" fillId="11" borderId="61" numFmtId="4" xfId="4" applyNumberFormat="1" applyFont="1" applyFill="1" applyBorder="1" applyAlignment="1">
      <alignment vertical="center"/>
    </xf>
    <xf fontId="7" fillId="11" borderId="56" numFmtId="4" xfId="4" applyNumberFormat="1" applyFont="1" applyFill="1" applyBorder="1" applyAlignment="1">
      <alignment vertical="center"/>
    </xf>
    <xf fontId="7" fillId="11" borderId="56" numFmtId="4" xfId="4" applyNumberFormat="1" applyFont="1" applyFill="1" applyBorder="1" applyAlignment="1">
      <alignment horizontal="right" vertical="center"/>
    </xf>
    <xf fontId="7" fillId="11" borderId="62" numFmtId="10" xfId="11" applyNumberFormat="1" applyFont="1" applyFill="1" applyBorder="1" applyAlignment="1" applyProtection="1">
      <alignment horizontal="left" vertical="center"/>
    </xf>
    <xf fontId="2" fillId="11" borderId="7" numFmtId="0" xfId="7" applyFont="1" applyFill="1" applyBorder="1"/>
    <xf fontId="2" fillId="11" borderId="0" numFmtId="0" xfId="7" applyFont="1" applyFill="1"/>
    <xf fontId="9" fillId="11" borderId="0" numFmtId="0" xfId="4" applyFont="1" applyFill="1"/>
    <xf fontId="14" fillId="11" borderId="0" numFmtId="4" xfId="4" applyNumberFormat="1" applyFont="1" applyFill="1" applyAlignment="1">
      <alignment shrinkToFit="1" vertical="center" wrapText="1"/>
    </xf>
    <xf fontId="9" fillId="11" borderId="0" numFmtId="4" xfId="4" applyNumberFormat="1" applyFont="1" applyFill="1" applyAlignment="1">
      <alignment shrinkToFit="1" vertical="center" wrapText="1"/>
    </xf>
    <xf fontId="9" fillId="11" borderId="8" numFmtId="4" xfId="4" applyNumberFormat="1" applyFont="1" applyFill="1" applyBorder="1" applyAlignment="1">
      <alignment vertical="center"/>
    </xf>
    <xf fontId="11" fillId="11" borderId="63" numFmtId="0" xfId="5" applyFont="1" applyFill="1" applyBorder="1" applyAlignment="1">
      <alignment vertical="center"/>
    </xf>
    <xf fontId="7" fillId="11" borderId="53" numFmtId="0" xfId="5" applyFont="1" applyFill="1" applyBorder="1" applyAlignment="1">
      <alignment horizontal="center" vertical="center"/>
    </xf>
    <xf fontId="7" fillId="11" borderId="53" numFmtId="0" xfId="5" applyFont="1" applyFill="1" applyBorder="1" applyAlignment="1">
      <alignment horizontal="center" vertical="center" wrapText="1"/>
    </xf>
    <xf fontId="7" fillId="11" borderId="64" numFmtId="0" xfId="5" applyFont="1" applyFill="1" applyBorder="1" applyAlignment="1">
      <alignment horizontal="center" vertical="center" wrapText="1"/>
    </xf>
    <xf fontId="11" fillId="0" borderId="0" numFmtId="0" xfId="5" applyFont="1"/>
    <xf fontId="11" fillId="11" borderId="15" numFmtId="0" xfId="5" applyFont="1" applyFill="1" applyBorder="1" applyAlignment="1">
      <alignment horizontal="center"/>
    </xf>
    <xf fontId="7" fillId="11" borderId="16" numFmtId="0" xfId="5" applyFont="1" applyFill="1" applyBorder="1" applyAlignment="1">
      <alignment vertical="center" wrapText="1"/>
    </xf>
    <xf fontId="7" fillId="11" borderId="16" numFmtId="0" xfId="5" applyFont="1" applyFill="1" applyBorder="1" applyAlignment="1">
      <alignment horizontal="center" vertical="center" wrapText="1"/>
    </xf>
    <xf fontId="7" fillId="11" borderId="16" numFmtId="2" xfId="5" applyNumberFormat="1" applyFont="1" applyFill="1" applyBorder="1" applyAlignment="1">
      <alignment horizontal="center" vertical="center"/>
    </xf>
    <xf fontId="7" fillId="11" borderId="16" numFmtId="167" xfId="2" applyNumberFormat="1" applyFont="1" applyFill="1" applyBorder="1" applyAlignment="1" applyProtection="1">
      <alignment horizontal="center" vertical="center"/>
    </xf>
    <xf fontId="22" fillId="11" borderId="16" numFmtId="170" xfId="2" applyNumberFormat="1" applyFont="1" applyFill="1" applyBorder="1" applyAlignment="1" applyProtection="1">
      <alignment horizontal="center" vertical="center"/>
    </xf>
    <xf fontId="22" fillId="11" borderId="17" numFmtId="167" xfId="5" applyNumberFormat="1" applyFont="1" applyFill="1" applyBorder="1" applyAlignment="1">
      <alignment horizontal="center" vertical="center"/>
    </xf>
    <xf fontId="11" fillId="0" borderId="0" numFmtId="167" xfId="5" applyNumberFormat="1" applyFont="1"/>
    <xf fontId="11" fillId="0" borderId="0" numFmtId="10" xfId="12" applyNumberFormat="1" applyFont="1" applyProtection="1"/>
    <xf fontId="0" fillId="11" borderId="15" numFmtId="0" xfId="5" applyFill="1" applyBorder="1" applyAlignment="1">
      <alignment horizontal="center"/>
    </xf>
    <xf fontId="8" fillId="11" borderId="16" numFmtId="0" xfId="5" applyFont="1" applyFill="1" applyBorder="1" applyAlignment="1">
      <alignment vertical="center" wrapText="1"/>
    </xf>
    <xf fontId="8" fillId="11" borderId="16" numFmtId="0" xfId="5" applyFont="1" applyFill="1" applyBorder="1" applyAlignment="1">
      <alignment horizontal="center" vertical="center" wrapText="1"/>
    </xf>
    <xf fontId="8" fillId="11" borderId="16" numFmtId="2" xfId="5" applyNumberFormat="1" applyFont="1" applyFill="1" applyBorder="1" applyAlignment="1">
      <alignment horizontal="center" vertical="center"/>
    </xf>
    <xf fontId="8" fillId="11" borderId="16" numFmtId="167" xfId="2" applyNumberFormat="1" applyFont="1" applyFill="1" applyBorder="1" applyAlignment="1" applyProtection="1">
      <alignment horizontal="center" vertical="center"/>
    </xf>
    <xf fontId="37" fillId="11" borderId="16" numFmtId="167" xfId="2" applyNumberFormat="1" applyFont="1" applyFill="1" applyBorder="1" applyAlignment="1" applyProtection="1">
      <alignment horizontal="center" vertical="center"/>
    </xf>
    <xf fontId="37" fillId="11" borderId="17" numFmtId="167" xfId="5" applyNumberFormat="1" applyFont="1" applyFill="1" applyBorder="1" applyAlignment="1">
      <alignment horizontal="center" vertical="center"/>
    </xf>
    <xf fontId="6" fillId="11" borderId="18" numFmtId="0" xfId="5" applyFont="1" applyFill="1" applyBorder="1" applyAlignment="1">
      <alignment horizontal="right" indent="1" vertical="center"/>
    </xf>
    <xf fontId="6" fillId="11" borderId="65" numFmtId="0" xfId="5" applyFont="1" applyFill="1" applyBorder="1" applyAlignment="1">
      <alignment horizontal="right" indent="1" vertical="center"/>
    </xf>
    <xf fontId="38" fillId="11" borderId="19" numFmtId="167" xfId="5" applyNumberFormat="1" applyFont="1" applyFill="1" applyBorder="1" applyAlignment="1">
      <alignment horizontal="center"/>
    </xf>
    <xf fontId="23" fillId="11" borderId="20" numFmtId="167" xfId="5" applyNumberFormat="1" applyFont="1" applyFill="1" applyBorder="1" applyAlignment="1">
      <alignment horizontal="center"/>
    </xf>
    <xf fontId="0" fillId="0" borderId="0" numFmtId="167" xfId="5" applyNumberFormat="1"/>
    <xf fontId="8" fillId="0" borderId="0" numFmtId="0" xfId="5" applyFont="1" applyAlignment="1">
      <alignment horizontal="center" vertical="center"/>
    </xf>
    <xf fontId="37" fillId="0" borderId="0" numFmtId="167" xfId="5" applyNumberFormat="1" applyFont="1" applyAlignment="1">
      <alignment horizontal="center"/>
    </xf>
  </cellXfs>
  <cellStyles count="17">
    <cellStyle name="Moeda 2" xfId="1"/>
    <cellStyle name="Moeda 4 2" xfId="2"/>
    <cellStyle name="Moeda 9" xfId="3"/>
    <cellStyle name="Normal" xfId="0" builtinId="0"/>
    <cellStyle name="Normal 2 2 2" xfId="4"/>
    <cellStyle name="Normal 2 2 2 2" xfId="5"/>
    <cellStyle name="Normal 3 2" xfId="6"/>
    <cellStyle name="Normal 3 3" xfId="7"/>
    <cellStyle name="Normal 32" xfId="8"/>
    <cellStyle name="Normal 7" xfId="9"/>
    <cellStyle name="Porcentagem" xfId="10" builtinId="5"/>
    <cellStyle name="Porcentagem 2 2" xfId="11"/>
    <cellStyle name="Porcentagem 3" xfId="12"/>
    <cellStyle name="Porcentagem 9" xfId="13"/>
    <cellStyle name="Texto Explicativo 2" xfId="14"/>
    <cellStyle name="Vírgula" xfId="15" builtinId="3"/>
    <cellStyle name="Vírgula 2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microsoft.com/office/2017/10/relationships/person" Target="persons/person.xml"/><Relationship  Id="rId10" Type="http://schemas.openxmlformats.org/officeDocument/2006/relationships/worksheet" Target="worksheets/sheet9.xml"/><Relationship  Id="rId11" Type="http://schemas.openxmlformats.org/officeDocument/2006/relationships/theme" Target="theme/theme1.xml"/><Relationship  Id="rId12" Type="http://schemas.openxmlformats.org/officeDocument/2006/relationships/sharedStrings" Target="sharedStrings.xml"/><Relationship  Id="rId13" Type="http://schemas.openxmlformats.org/officeDocument/2006/relationships/styles" Target="styles.xml"/><Relationship  Id="rId2" Type="http://schemas.openxmlformats.org/officeDocument/2006/relationships/worksheet" Target="worksheets/sheet1.xml"/><Relationship  Id="rId3" Type="http://schemas.openxmlformats.org/officeDocument/2006/relationships/worksheet" Target="worksheets/sheet2.xml"/><Relationship  Id="rId4" Type="http://schemas.openxmlformats.org/officeDocument/2006/relationships/worksheet" Target="worksheets/sheet3.xml"/><Relationship  Id="rId5" Type="http://schemas.openxmlformats.org/officeDocument/2006/relationships/worksheet" Target="worksheets/sheet4.xml"/><Relationship  Id="rId6" Type="http://schemas.openxmlformats.org/officeDocument/2006/relationships/worksheet" Target="worksheets/sheet5.xml"/><Relationship  Id="rId7" Type="http://schemas.openxmlformats.org/officeDocument/2006/relationships/worksheet" Target="worksheets/sheet6.xml"/><Relationship  Id="rId8" Type="http://schemas.openxmlformats.org/officeDocument/2006/relationships/worksheet" Target="worksheets/sheet7.xml"/><Relationship  Id="rId9" Type="http://schemas.openxmlformats.org/officeDocument/2006/relationships/worksheet" Target="worksheets/sheet8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utor desconhecido" id="{58637B0A-8FC6-0E47-495B-D70C764A7ABF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o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6" personId="{58637B0A-8FC6-0E47-495B-D70C764A7ABF}" id="{00B400B9-00F0-4654-912A-009900F100A4}" done="0">
    <text xml:space="preserve">Douglas Ribeiro:
Ideal 80 a 90%
</text>
  </threadedComment>
  <threadedComment ref="F20" personId="{58637B0A-8FC6-0E47-495B-D70C764A7ABF}" id="{009E00A6-00D4-4B04-8BA8-00B00037002C}" done="0">
    <text xml:space="preserve">Douglas Ribeiro:
Ideal 50%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6" personId="{58637B0A-8FC6-0E47-495B-D70C764A7ABF}" id="{00410066-0034-4F68-92A2-0046005400DE}" done="0">
    <text xml:space="preserve">Douglas Ribeiro:
Ideal 80 a 90%
</text>
  </threadedComment>
  <threadedComment ref="F20" personId="{58637B0A-8FC6-0E47-495B-D70C764A7ABF}" id="{005C00E5-003F-4D99-A0E3-00EA009800C9}" done="0">
    <text xml:space="preserve">Douglas Ribeiro:
Ideal 50%
</text>
  </threadedComment>
</ThreadedComments>
</file>

<file path=xl/worksheets/_rels/sheet3.xml.rels><?xml version="1.0" encoding="UTF-8" standalone="yes"?><Relationships xmlns="http://schemas.openxmlformats.org/package/2006/relationships"><Relationship  Id="rId1" Type="http://schemas.microsoft.com/office/2017/10/relationships/threadedComment" Target="../threadedComments/threadedComment1.xml"/><Relationship  Id="rId2" Type="http://schemas.openxmlformats.org/officeDocument/2006/relationships/comments" Target="../comments1.xml"/><Relationship  Id="rId3" Type="http://schemas.openxmlformats.org/officeDocument/2006/relationships/vmlDrawing" Target="../drawings/vmlDrawing1.vml"/></Relationships>
</file>

<file path=xl/worksheets/_rels/sheet4.xml.rels><?xml version="1.0" encoding="UTF-8" standalone="yes"?><Relationships xmlns="http://schemas.openxmlformats.org/package/2006/relationships"><Relationship  Id="rId1" Type="http://schemas.microsoft.com/office/2017/10/relationships/threadedComment" Target="../threadedComments/threadedComment2.xml"/><Relationship  Id="rId2" Type="http://schemas.openxmlformats.org/officeDocument/2006/relationships/comments" Target="../comments2.xml"/><Relationship 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13501B"/>
    <outlinePr applyStyles="0" summaryBelow="1" summaryRight="1" showOutlineSymbols="1"/>
    <pageSetUpPr autoPageBreaks="1" fitToPage="1"/>
  </sheetPr>
  <sheetViews>
    <sheetView showGridLines="0" topLeftCell="A7" zoomScale="100" workbookViewId="0">
      <selection activeCell="B7" activeCellId="0" sqref="B7"/>
    </sheetView>
  </sheetViews>
  <sheetFormatPr defaultColWidth="9.125" defaultRowHeight="14.25"/>
  <cols>
    <col customWidth="1" min="1" max="1" style="1" width="40.625"/>
    <col customWidth="1" min="2" max="2" style="2" width="9.875"/>
    <col customWidth="1" min="3" max="3" style="1" width="21.5"/>
    <col min="4" max="9" style="1" width="9.125"/>
    <col customWidth="1" hidden="1" min="10" max="11" style="1" width="0"/>
    <col customWidth="1" min="12" max="12" style="1" width="14"/>
    <col min="13" max="16384" style="1" width="9.125"/>
  </cols>
  <sheetData>
    <row r="1" ht="42.75" customHeight="1">
      <c r="A1" s="3" t="s">
        <v>0</v>
      </c>
      <c r="B1" s="4"/>
      <c r="C1" s="4"/>
      <c r="D1" s="4"/>
      <c r="E1" s="4"/>
      <c r="F1" s="4"/>
      <c r="G1" s="5"/>
    </row>
    <row r="2" ht="15">
      <c r="A2" s="6" t="s">
        <v>1</v>
      </c>
      <c r="B2" s="7"/>
      <c r="C2" s="7"/>
      <c r="D2" s="7"/>
      <c r="E2" s="7"/>
      <c r="F2" s="7"/>
      <c r="G2" s="8"/>
    </row>
    <row r="3" ht="15">
      <c r="A3" s="9"/>
      <c r="B3" s="10"/>
      <c r="C3" s="11"/>
      <c r="D3" s="12"/>
      <c r="E3" s="12"/>
      <c r="G3" s="13"/>
    </row>
    <row r="4" ht="14.25">
      <c r="A4" s="14" t="s">
        <v>2</v>
      </c>
      <c r="B4" s="15">
        <v>257</v>
      </c>
      <c r="C4" s="16"/>
      <c r="G4" s="13"/>
    </row>
    <row r="5" ht="14.25">
      <c r="A5" s="14" t="s">
        <v>3</v>
      </c>
      <c r="B5" s="17">
        <f>B4/12</f>
        <v>21.416666666666668</v>
      </c>
      <c r="C5" s="16" t="s">
        <v>4</v>
      </c>
      <c r="G5" s="13"/>
    </row>
    <row r="6" ht="14.25">
      <c r="A6" s="18" t="s">
        <v>5</v>
      </c>
      <c r="B6" s="19">
        <v>6</v>
      </c>
      <c r="C6" s="20"/>
      <c r="G6" s="13"/>
      <c r="J6" s="1">
        <f>B13/B5</f>
        <v>23.859922178988324</v>
      </c>
    </row>
    <row r="7" ht="14.25">
      <c r="A7" s="14" t="s">
        <v>6</v>
      </c>
      <c r="B7" s="19">
        <v>5.9000000000000004</v>
      </c>
      <c r="C7" s="20"/>
      <c r="G7" s="13"/>
      <c r="J7" s="1">
        <f>J6/8</f>
        <v>2.9824902723735405</v>
      </c>
    </row>
    <row r="8" ht="16.5">
      <c r="A8" s="21"/>
      <c r="B8" s="22"/>
      <c r="C8" s="23"/>
      <c r="G8" s="13"/>
    </row>
    <row r="9" ht="16.5">
      <c r="A9" s="24" t="s">
        <v>7</v>
      </c>
      <c r="B9" s="25"/>
      <c r="C9" s="25"/>
      <c r="D9" s="25"/>
      <c r="E9" s="25"/>
      <c r="F9" s="25"/>
      <c r="G9" s="26"/>
      <c r="L9" s="27"/>
    </row>
    <row r="10" ht="14.25">
      <c r="A10" s="14" t="s">
        <v>8</v>
      </c>
      <c r="B10" s="28">
        <v>19507</v>
      </c>
      <c r="C10" s="16" t="s">
        <v>9</v>
      </c>
      <c r="G10" s="13"/>
    </row>
    <row r="11" ht="14.25">
      <c r="A11" s="14" t="s">
        <v>10</v>
      </c>
      <c r="B11" s="17">
        <f>B12/B10</f>
        <v>0.86122930230173789</v>
      </c>
      <c r="C11" s="16" t="s">
        <v>11</v>
      </c>
      <c r="G11" s="13"/>
    </row>
    <row r="12" ht="14.25">
      <c r="A12" s="14" t="s">
        <v>12</v>
      </c>
      <c r="B12" s="29">
        <f>B13*1000/(365/12)</f>
        <v>16800</v>
      </c>
      <c r="C12" s="16" t="s">
        <v>13</v>
      </c>
      <c r="G12" s="13"/>
    </row>
    <row r="13" ht="14.25">
      <c r="A13" s="14" t="s">
        <v>14</v>
      </c>
      <c r="B13" s="30">
        <v>511</v>
      </c>
      <c r="C13" s="16" t="s">
        <v>15</v>
      </c>
      <c r="D13" s="31"/>
      <c r="G13" s="13"/>
      <c r="H13" s="32"/>
    </row>
    <row r="14" ht="14.25">
      <c r="A14" s="14"/>
      <c r="B14" s="33"/>
      <c r="C14" s="16"/>
      <c r="G14" s="13"/>
      <c r="H14" s="32"/>
      <c r="I14" s="32"/>
    </row>
    <row r="15" ht="14.25">
      <c r="A15" s="18" t="s">
        <v>16</v>
      </c>
      <c r="B15" s="34">
        <v>166</v>
      </c>
      <c r="C15" s="35" t="s">
        <v>17</v>
      </c>
      <c r="G15" s="13"/>
      <c r="H15" s="32"/>
      <c r="I15" s="32"/>
    </row>
    <row r="16" ht="14.25">
      <c r="A16" s="36" t="s">
        <v>18</v>
      </c>
      <c r="B16" s="37">
        <v>8.3300000000000001</v>
      </c>
      <c r="C16" s="38" t="s">
        <v>19</v>
      </c>
      <c r="D16" s="32"/>
      <c r="E16" s="32"/>
      <c r="F16" s="32"/>
      <c r="G16" s="39"/>
      <c r="H16" s="32"/>
      <c r="I16" s="32"/>
      <c r="J16" s="1">
        <v>2</v>
      </c>
      <c r="K16" s="31" t="s">
        <v>20</v>
      </c>
    </row>
    <row r="17" ht="14.25">
      <c r="A17" s="36" t="s">
        <v>21</v>
      </c>
      <c r="B17" s="40">
        <f>B16*1</f>
        <v>8.3300000000000001</v>
      </c>
      <c r="C17" s="38" t="s">
        <v>22</v>
      </c>
      <c r="D17" s="32"/>
      <c r="E17" s="32"/>
      <c r="F17" s="32"/>
      <c r="G17" s="39"/>
      <c r="H17" s="32"/>
      <c r="I17" s="32"/>
      <c r="K17" s="31"/>
    </row>
    <row r="18" ht="14.25">
      <c r="A18" s="18" t="s">
        <v>23</v>
      </c>
      <c r="B18" s="41">
        <f>MAX(SETORES!I8,(B15+B17*B24)*B5)</f>
        <v>3733.5675000000006</v>
      </c>
      <c r="C18" s="35" t="s">
        <v>24</v>
      </c>
      <c r="G18" s="13"/>
      <c r="H18" s="32"/>
      <c r="I18" s="32"/>
    </row>
    <row r="19" ht="14.25">
      <c r="A19" s="18" t="s">
        <v>25</v>
      </c>
      <c r="B19" s="33">
        <v>4</v>
      </c>
      <c r="C19" s="35" t="s">
        <v>26</v>
      </c>
      <c r="G19" s="13"/>
      <c r="H19" s="32"/>
      <c r="I19" s="32"/>
      <c r="J19" s="32">
        <f>11.5*4*B5</f>
        <v>985.16666666666674</v>
      </c>
      <c r="K19" s="31" t="s">
        <v>27</v>
      </c>
    </row>
    <row r="20" ht="14.25">
      <c r="A20" s="18" t="s">
        <v>28</v>
      </c>
      <c r="B20" s="33">
        <v>15</v>
      </c>
      <c r="C20" s="35" t="s">
        <v>29</v>
      </c>
      <c r="G20" s="13"/>
      <c r="H20" s="32"/>
      <c r="I20" s="32"/>
      <c r="J20" s="32"/>
      <c r="K20" s="31"/>
    </row>
    <row r="21" ht="14.25">
      <c r="A21" s="18" t="s">
        <v>30</v>
      </c>
      <c r="B21" s="33">
        <v>0.59999999999999998</v>
      </c>
      <c r="C21" s="35" t="s">
        <v>31</v>
      </c>
      <c r="G21" s="13"/>
      <c r="H21" s="32"/>
      <c r="I21" s="32"/>
      <c r="J21" s="32"/>
      <c r="K21" s="31"/>
    </row>
    <row r="22" ht="14.25">
      <c r="A22" s="18" t="s">
        <v>32</v>
      </c>
      <c r="B22" s="42">
        <v>0.84999999999999998</v>
      </c>
      <c r="C22" s="35"/>
      <c r="G22" s="13"/>
      <c r="H22" s="32"/>
      <c r="I22" s="32"/>
      <c r="J22" s="32"/>
      <c r="K22" s="31"/>
    </row>
    <row r="23" ht="14.25">
      <c r="A23" s="18" t="s">
        <v>33</v>
      </c>
      <c r="B23" s="33">
        <f>B20*B21*B22</f>
        <v>7.6499999999999995</v>
      </c>
      <c r="C23" s="35" t="s">
        <v>34</v>
      </c>
      <c r="G23" s="13"/>
      <c r="H23" s="32"/>
      <c r="I23" s="32"/>
      <c r="J23" s="32"/>
      <c r="K23" s="31"/>
    </row>
    <row r="24" ht="14.25">
      <c r="A24" s="18" t="s">
        <v>35</v>
      </c>
      <c r="B24" s="33">
        <v>1</v>
      </c>
      <c r="C24" s="35"/>
      <c r="G24" s="13"/>
      <c r="H24" s="32"/>
      <c r="I24" s="32"/>
      <c r="J24" s="32"/>
      <c r="K24" s="31"/>
    </row>
    <row r="25" ht="14.25">
      <c r="A25" s="18" t="s">
        <v>36</v>
      </c>
      <c r="B25" s="33">
        <v>4</v>
      </c>
      <c r="C25" s="35"/>
      <c r="G25" s="13"/>
      <c r="H25" s="32"/>
      <c r="I25" s="32"/>
      <c r="J25" s="32"/>
      <c r="K25" s="31"/>
    </row>
    <row r="26" ht="14.25">
      <c r="A26" s="36" t="s">
        <v>37</v>
      </c>
      <c r="B26" s="43">
        <f>(B18/B25)</f>
        <v>933.39187500000014</v>
      </c>
      <c r="C26" s="38" t="s">
        <v>24</v>
      </c>
      <c r="D26" s="32"/>
      <c r="E26" s="32"/>
      <c r="F26" s="32"/>
      <c r="G26" s="39"/>
      <c r="H26" s="32"/>
      <c r="I26" s="32"/>
      <c r="J26" s="1">
        <f>J19/J16</f>
        <v>492.58333333333337</v>
      </c>
      <c r="K26" s="31" t="s">
        <v>38</v>
      </c>
    </row>
    <row r="27" ht="14.25">
      <c r="A27" s="36" t="s">
        <v>37</v>
      </c>
      <c r="B27" s="43">
        <f>B26/B5</f>
        <v>43.582500000000003</v>
      </c>
      <c r="C27" s="38" t="s">
        <v>17</v>
      </c>
      <c r="D27" s="32"/>
      <c r="E27" s="32"/>
      <c r="F27" s="32"/>
      <c r="G27" s="39"/>
      <c r="H27" s="32"/>
      <c r="I27" s="32"/>
    </row>
    <row r="28" ht="14.25">
      <c r="A28" s="36" t="s">
        <v>39</v>
      </c>
      <c r="B28" s="37">
        <v>1.8</v>
      </c>
      <c r="C28" s="38" t="s">
        <v>40</v>
      </c>
      <c r="D28" s="32"/>
      <c r="E28" s="32"/>
      <c r="F28" s="32"/>
      <c r="G28" s="39"/>
      <c r="H28" s="32"/>
      <c r="I28" s="32"/>
    </row>
    <row r="29" ht="14.25">
      <c r="A29" s="36" t="s">
        <v>41</v>
      </c>
      <c r="B29" s="37">
        <v>1.45</v>
      </c>
      <c r="C29" s="38" t="s">
        <v>40</v>
      </c>
      <c r="D29" s="32"/>
      <c r="E29" s="32"/>
      <c r="F29" s="32"/>
      <c r="G29" s="39"/>
      <c r="H29" s="32"/>
      <c r="I29" s="32"/>
    </row>
    <row r="30" ht="14.25">
      <c r="A30" s="36" t="s">
        <v>42</v>
      </c>
      <c r="B30" s="44">
        <f>B27/(((B27-B17)/B29)+(B17/B28))</f>
        <v>1.5059685832682403</v>
      </c>
      <c r="C30" s="38" t="s">
        <v>40</v>
      </c>
      <c r="D30" s="32"/>
      <c r="F30" s="32"/>
      <c r="G30" s="39"/>
      <c r="H30" s="32"/>
      <c r="J30" s="45">
        <f>B26-J19</f>
        <v>-51.774791666666601</v>
      </c>
      <c r="K30" s="31" t="s">
        <v>43</v>
      </c>
      <c r="M30" s="46"/>
    </row>
    <row r="31" ht="14.25">
      <c r="A31" s="47"/>
      <c r="C31" s="32"/>
      <c r="D31" s="32"/>
      <c r="E31" s="32"/>
      <c r="F31" s="32"/>
      <c r="G31" s="39"/>
      <c r="J31" s="1">
        <v>1.45</v>
      </c>
      <c r="K31" s="31" t="s">
        <v>20</v>
      </c>
    </row>
    <row r="32" ht="14.25">
      <c r="A32" s="48"/>
      <c r="C32" s="49"/>
      <c r="D32" s="32"/>
      <c r="E32" s="32"/>
      <c r="F32" s="32"/>
      <c r="G32" s="39"/>
    </row>
    <row r="33" ht="15">
      <c r="A33" s="50" t="s">
        <v>44</v>
      </c>
      <c r="B33" s="51"/>
      <c r="C33" s="51"/>
      <c r="D33" s="51"/>
      <c r="E33" s="51"/>
      <c r="F33" s="51"/>
      <c r="G33" s="52"/>
    </row>
    <row r="34" ht="14.25">
      <c r="A34" s="48" t="s">
        <v>45</v>
      </c>
      <c r="C34" s="32"/>
      <c r="D34" s="32"/>
      <c r="E34" s="32"/>
      <c r="F34" s="32"/>
      <c r="G34" s="39"/>
    </row>
    <row r="35" ht="14.25">
      <c r="A35" s="48" t="s">
        <v>46</v>
      </c>
      <c r="C35" s="32"/>
      <c r="D35" s="32"/>
      <c r="E35" s="32"/>
      <c r="F35" s="32"/>
      <c r="G35" s="39"/>
    </row>
    <row r="36" ht="14.25">
      <c r="A36" s="53" t="s">
        <v>47</v>
      </c>
      <c r="C36" s="32"/>
      <c r="D36" s="32"/>
      <c r="E36" s="32"/>
      <c r="F36" s="32"/>
      <c r="G36" s="39"/>
    </row>
    <row r="37" ht="14.25">
      <c r="A37" s="53" t="s">
        <v>48</v>
      </c>
      <c r="C37" s="32"/>
      <c r="D37" s="32"/>
      <c r="E37" s="32"/>
      <c r="F37" s="32"/>
      <c r="G37" s="39"/>
    </row>
    <row r="38" ht="14.25">
      <c r="A38" s="53" t="s">
        <v>49</v>
      </c>
      <c r="C38" s="32"/>
      <c r="G38" s="13"/>
    </row>
    <row r="39" ht="14.25">
      <c r="A39" s="53" t="s">
        <v>50</v>
      </c>
      <c r="G39" s="13"/>
    </row>
    <row r="40" ht="14.25">
      <c r="A40" s="54"/>
      <c r="B40" s="55"/>
      <c r="C40" s="56"/>
      <c r="D40" s="56"/>
      <c r="E40" s="56"/>
      <c r="F40" s="56"/>
      <c r="G40" s="57"/>
    </row>
    <row r="41" ht="14.25">
      <c r="A41" s="58"/>
    </row>
    <row r="42" ht="14.25">
      <c r="A42" s="58"/>
    </row>
    <row r="43" ht="14.25">
      <c r="A43" s="58"/>
    </row>
    <row r="44" ht="14.25">
      <c r="A44" s="58"/>
    </row>
  </sheetData>
  <mergeCells count="4">
    <mergeCell ref="A1:G1"/>
    <mergeCell ref="A2:G2"/>
    <mergeCell ref="A9:G9"/>
    <mergeCell ref="A33:G33"/>
  </mergeCells>
  <printOptions headings="0" gridLines="0" horizontalCentered="1"/>
  <pageMargins left="0.59027777777777801" right="0.59027777777777801" top="1.1812499999999999" bottom="0.78750000000000009" header="0.3152777777777779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&amp;RPágina&amp;P -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13501B"/>
    <outlinePr applyStyles="0" summaryBelow="1" summaryRight="1" showOutlineSymbols="1"/>
    <pageSetUpPr autoPageBreaks="1" fitToPage="1"/>
  </sheetPr>
  <sheetViews>
    <sheetView showGridLines="0" zoomScale="100" workbookViewId="0">
      <selection activeCell="F4" activeCellId="0" sqref="F4"/>
    </sheetView>
  </sheetViews>
  <sheetFormatPr defaultColWidth="9.125" defaultRowHeight="14.25"/>
  <cols>
    <col customWidth="1" min="1" max="1" style="59" width="11.25"/>
    <col customWidth="1" min="2" max="2" style="60" width="11.375"/>
    <col customWidth="1" min="3" max="3" style="59" width="18"/>
    <col customWidth="1" min="4" max="4" style="59" width="13.5"/>
    <col customWidth="1" min="5" max="5" style="59" width="13.25"/>
    <col customWidth="1" min="6" max="6" style="59" width="15.125"/>
    <col customWidth="1" min="7" max="7" style="61" width="13.375"/>
    <col min="8" max="8" style="61" width="9.125"/>
    <col customWidth="1" min="9" max="9" style="1" width="14.5"/>
    <col min="10" max="13" style="1" width="9.125"/>
    <col customWidth="1" min="14" max="14" style="1" width="14"/>
    <col min="15" max="16384" style="1" width="9.125"/>
  </cols>
  <sheetData>
    <row r="1" ht="21" customHeight="1">
      <c r="A1" s="62" t="s">
        <v>51</v>
      </c>
      <c r="B1" s="63"/>
      <c r="C1" s="63"/>
      <c r="D1" s="63"/>
      <c r="E1" s="63"/>
      <c r="F1" s="63"/>
      <c r="G1" s="63"/>
      <c r="H1" s="63"/>
      <c r="I1" s="64"/>
    </row>
    <row r="2" ht="15.75">
      <c r="A2" s="65"/>
      <c r="B2" s="66"/>
      <c r="C2" s="66"/>
      <c r="D2" s="66"/>
      <c r="E2" s="66"/>
      <c r="F2" s="66"/>
      <c r="G2" s="66"/>
      <c r="H2" s="66"/>
      <c r="I2" s="67"/>
    </row>
    <row r="3" ht="42.75">
      <c r="A3" s="68" t="s">
        <v>52</v>
      </c>
      <c r="B3" s="69" t="s">
        <v>53</v>
      </c>
      <c r="C3" s="70" t="s">
        <v>54</v>
      </c>
      <c r="D3" s="70" t="s">
        <v>55</v>
      </c>
      <c r="E3" s="70" t="s">
        <v>56</v>
      </c>
      <c r="F3" s="71" t="s">
        <v>57</v>
      </c>
      <c r="G3" s="71" t="s">
        <v>58</v>
      </c>
      <c r="H3" s="72" t="s">
        <v>59</v>
      </c>
      <c r="I3" s="73" t="s">
        <v>60</v>
      </c>
    </row>
    <row r="4">
      <c r="A4" s="74" t="s">
        <v>61</v>
      </c>
      <c r="B4" s="75" t="s">
        <v>62</v>
      </c>
      <c r="C4" s="76" t="s">
        <v>63</v>
      </c>
      <c r="D4" s="76">
        <v>45</v>
      </c>
      <c r="E4" s="76">
        <v>5</v>
      </c>
      <c r="F4" s="76">
        <v>2.6899999999999999</v>
      </c>
      <c r="G4" s="76">
        <v>0</v>
      </c>
      <c r="H4" s="76">
        <v>0</v>
      </c>
      <c r="I4" s="77">
        <f>(D4*E4+F4*E4+G4+H4)*A11</f>
        <v>1036.11294</v>
      </c>
    </row>
    <row r="5">
      <c r="A5" s="78" t="s">
        <v>64</v>
      </c>
      <c r="B5" s="79" t="s">
        <v>65</v>
      </c>
      <c r="C5" s="80" t="s">
        <v>63</v>
      </c>
      <c r="D5" s="80">
        <v>42</v>
      </c>
      <c r="E5" s="80">
        <v>5</v>
      </c>
      <c r="F5" s="80">
        <v>0.5</v>
      </c>
      <c r="G5" s="80">
        <v>0</v>
      </c>
      <c r="H5" s="80">
        <v>0</v>
      </c>
      <c r="I5" s="81">
        <f>(D5*E5+F5*E5+G5+H5)*A11</f>
        <v>923.35500000000002</v>
      </c>
    </row>
    <row r="6">
      <c r="A6" s="82" t="s">
        <v>66</v>
      </c>
      <c r="B6" s="83" t="s">
        <v>67</v>
      </c>
      <c r="C6" s="84" t="s">
        <v>63</v>
      </c>
      <c r="D6" s="85">
        <v>45</v>
      </c>
      <c r="E6" s="84">
        <v>5</v>
      </c>
      <c r="F6" s="84">
        <v>0.5</v>
      </c>
      <c r="G6" s="84">
        <v>0</v>
      </c>
      <c r="H6" s="84">
        <v>0</v>
      </c>
      <c r="I6" s="86">
        <f>(D6*E6+F6*E6+G6+H6)*A11</f>
        <v>988.53300000000002</v>
      </c>
    </row>
    <row r="7">
      <c r="A7" s="87" t="s">
        <v>68</v>
      </c>
      <c r="B7" s="88" t="s">
        <v>69</v>
      </c>
      <c r="C7" s="89" t="s">
        <v>70</v>
      </c>
      <c r="D7" s="90">
        <v>85</v>
      </c>
      <c r="E7" s="89">
        <v>2</v>
      </c>
      <c r="F7" s="89">
        <v>4.6399999999999997</v>
      </c>
      <c r="G7" s="89">
        <v>0</v>
      </c>
      <c r="H7" s="89">
        <v>0</v>
      </c>
      <c r="I7" s="91">
        <f>(D7*E7+F7*E7+G7+H7)*A11</f>
        <v>779.00745600000005</v>
      </c>
    </row>
    <row r="8" ht="18">
      <c r="A8" s="92" t="s">
        <v>71</v>
      </c>
      <c r="B8" s="93"/>
      <c r="C8" s="93"/>
      <c r="D8" s="93"/>
      <c r="E8" s="93"/>
      <c r="F8" s="93"/>
      <c r="G8" s="93"/>
      <c r="H8" s="93"/>
      <c r="I8" s="94">
        <f>SUM(I4:I7)</f>
        <v>3727.0083960000002</v>
      </c>
      <c r="N8" s="27"/>
    </row>
    <row r="9" ht="18">
      <c r="A9" s="95"/>
      <c r="B9" s="95"/>
      <c r="C9" s="95"/>
      <c r="D9" s="95"/>
      <c r="E9" s="95"/>
      <c r="F9" s="95"/>
      <c r="G9" s="95"/>
      <c r="H9" s="95"/>
      <c r="I9" s="96"/>
      <c r="N9" s="27"/>
    </row>
    <row r="10">
      <c r="A10" s="59" t="s">
        <v>72</v>
      </c>
      <c r="B10" s="97"/>
      <c r="C10" s="97"/>
      <c r="D10" s="97"/>
      <c r="E10" s="97"/>
      <c r="F10" s="97"/>
    </row>
    <row r="11">
      <c r="A11" s="98">
        <f>ROUND(365/12/7,4)</f>
        <v>4.3452000000000002</v>
      </c>
      <c r="B11" s="97"/>
      <c r="C11" s="97"/>
      <c r="D11" s="97"/>
      <c r="E11" s="97"/>
      <c r="F11" s="97"/>
    </row>
    <row r="12">
      <c r="A12" s="97"/>
      <c r="B12" s="97"/>
      <c r="C12" s="97"/>
      <c r="D12" s="97"/>
      <c r="E12" s="97"/>
      <c r="F12" s="97"/>
    </row>
    <row r="13">
      <c r="A13" s="97"/>
      <c r="B13" s="97"/>
      <c r="C13" s="97"/>
      <c r="D13" s="97"/>
      <c r="E13" s="97"/>
      <c r="F13" s="97"/>
      <c r="J13" s="32"/>
    </row>
    <row r="14">
      <c r="A14" s="97"/>
      <c r="B14" s="97"/>
      <c r="C14" s="97"/>
      <c r="D14" s="97"/>
      <c r="E14" s="97"/>
      <c r="F14" s="97"/>
      <c r="J14" s="32"/>
    </row>
    <row r="15">
      <c r="A15" s="97"/>
      <c r="B15" s="97"/>
      <c r="C15" s="97"/>
      <c r="D15" s="97"/>
      <c r="E15" s="97"/>
      <c r="F15" s="97"/>
      <c r="J15" s="32"/>
    </row>
    <row r="16">
      <c r="A16" s="97"/>
      <c r="B16" s="97"/>
      <c r="C16" s="97"/>
      <c r="D16" s="97"/>
      <c r="E16" s="97"/>
      <c r="F16" s="97"/>
      <c r="I16" s="32"/>
      <c r="J16" s="32"/>
    </row>
    <row r="17">
      <c r="A17" s="97"/>
      <c r="B17" s="97"/>
      <c r="C17" s="97"/>
      <c r="D17" s="97"/>
      <c r="E17" s="97"/>
      <c r="F17" s="97"/>
      <c r="I17" s="32"/>
      <c r="J17" s="32"/>
    </row>
    <row r="18">
      <c r="A18" s="97"/>
      <c r="B18" s="97"/>
      <c r="C18" s="97"/>
      <c r="D18" s="97"/>
      <c r="E18" s="97"/>
      <c r="F18" s="97"/>
      <c r="J18" s="32"/>
    </row>
    <row r="19">
      <c r="A19" s="97"/>
      <c r="B19" s="97"/>
      <c r="C19" s="97"/>
      <c r="D19" s="97"/>
      <c r="E19" s="97"/>
      <c r="F19" s="97"/>
      <c r="J19" s="32"/>
    </row>
    <row r="20">
      <c r="A20" s="97"/>
      <c r="B20" s="97"/>
      <c r="C20" s="97"/>
      <c r="D20" s="97"/>
      <c r="E20" s="97"/>
      <c r="F20" s="97"/>
      <c r="J20" s="32"/>
    </row>
    <row r="21">
      <c r="A21" s="97"/>
      <c r="B21" s="97"/>
      <c r="C21" s="97"/>
      <c r="D21" s="97"/>
      <c r="E21" s="97"/>
      <c r="F21" s="97"/>
      <c r="J21" s="32"/>
    </row>
    <row r="22">
      <c r="A22" s="97"/>
      <c r="B22" s="97"/>
      <c r="C22" s="97"/>
      <c r="D22" s="97"/>
      <c r="E22" s="97"/>
      <c r="F22" s="97"/>
      <c r="J22" s="32"/>
    </row>
    <row r="23">
      <c r="A23" s="97"/>
      <c r="B23" s="97"/>
      <c r="C23" s="97"/>
      <c r="D23" s="97"/>
      <c r="E23" s="97"/>
      <c r="F23" s="97"/>
      <c r="J23" s="32"/>
    </row>
    <row r="24">
      <c r="A24" s="97"/>
      <c r="B24" s="97"/>
      <c r="C24" s="97"/>
      <c r="D24" s="97"/>
      <c r="E24" s="97"/>
      <c r="F24" s="97"/>
      <c r="J24" s="32"/>
    </row>
    <row r="25">
      <c r="A25" s="97"/>
      <c r="B25" s="97"/>
      <c r="C25" s="97"/>
      <c r="D25" s="97"/>
      <c r="E25" s="97"/>
      <c r="F25" s="97"/>
      <c r="J25" s="32"/>
    </row>
    <row r="26">
      <c r="A26" s="97"/>
      <c r="B26" s="97"/>
      <c r="C26" s="97"/>
      <c r="D26" s="97"/>
      <c r="E26" s="97"/>
      <c r="F26" s="97"/>
      <c r="I26" s="32"/>
      <c r="J26" s="32"/>
    </row>
    <row r="27">
      <c r="A27" s="97"/>
      <c r="B27" s="97"/>
      <c r="C27" s="97"/>
      <c r="D27" s="97"/>
      <c r="E27" s="97"/>
      <c r="F27" s="97"/>
      <c r="I27" s="32"/>
      <c r="J27" s="32"/>
    </row>
    <row r="28">
      <c r="A28" s="97"/>
      <c r="B28" s="97"/>
      <c r="C28" s="97"/>
      <c r="D28" s="97"/>
      <c r="E28" s="97"/>
      <c r="F28" s="97"/>
      <c r="I28" s="32"/>
      <c r="J28" s="32"/>
    </row>
    <row r="29">
      <c r="A29" s="97"/>
      <c r="B29" s="97"/>
      <c r="C29" s="97"/>
      <c r="D29" s="97"/>
      <c r="E29" s="97"/>
      <c r="F29" s="97"/>
      <c r="I29" s="32"/>
      <c r="J29" s="32"/>
    </row>
    <row r="30">
      <c r="A30" s="97"/>
      <c r="B30" s="97"/>
      <c r="C30" s="97"/>
      <c r="D30" s="97"/>
      <c r="E30" s="97"/>
      <c r="F30" s="97"/>
      <c r="I30" s="32"/>
      <c r="J30" s="32"/>
    </row>
    <row r="31">
      <c r="A31" s="97"/>
      <c r="B31" s="97"/>
      <c r="C31" s="97"/>
      <c r="D31" s="97"/>
      <c r="E31" s="97"/>
      <c r="F31" s="97"/>
      <c r="I31" s="32"/>
    </row>
    <row r="32">
      <c r="A32" s="97"/>
      <c r="B32" s="97"/>
      <c r="C32" s="97"/>
      <c r="D32" s="97"/>
      <c r="E32" s="97"/>
      <c r="F32" s="97"/>
      <c r="I32" s="32"/>
    </row>
    <row r="33">
      <c r="A33" s="97"/>
      <c r="B33" s="97"/>
      <c r="C33" s="97"/>
      <c r="D33" s="97"/>
      <c r="E33" s="97"/>
      <c r="F33" s="97"/>
      <c r="I33" s="32"/>
    </row>
    <row r="34">
      <c r="A34" s="97"/>
      <c r="B34" s="97"/>
      <c r="C34" s="97"/>
      <c r="D34" s="97"/>
      <c r="E34" s="97"/>
      <c r="F34" s="97"/>
      <c r="I34" s="32"/>
    </row>
    <row r="35">
      <c r="A35" s="97"/>
      <c r="B35" s="97"/>
      <c r="C35" s="97"/>
      <c r="D35" s="97"/>
      <c r="E35" s="97"/>
      <c r="F35" s="97"/>
      <c r="I35" s="32"/>
    </row>
    <row r="36">
      <c r="A36" s="97"/>
      <c r="B36" s="97"/>
      <c r="C36" s="97"/>
      <c r="D36" s="97"/>
      <c r="E36" s="97"/>
      <c r="F36" s="97"/>
      <c r="I36" s="32"/>
    </row>
    <row r="37">
      <c r="A37" s="97"/>
      <c r="B37" s="97"/>
      <c r="C37" s="97"/>
      <c r="D37" s="97"/>
      <c r="E37" s="97"/>
      <c r="F37" s="97"/>
      <c r="I37" s="32"/>
    </row>
    <row r="38">
      <c r="A38" s="97"/>
      <c r="B38" s="97"/>
      <c r="C38" s="97"/>
      <c r="D38" s="97"/>
      <c r="E38" s="97"/>
      <c r="F38" s="97"/>
    </row>
    <row r="39">
      <c r="A39" s="97"/>
      <c r="B39" s="97"/>
      <c r="C39" s="97"/>
      <c r="D39" s="97"/>
      <c r="E39" s="97"/>
      <c r="F39" s="97"/>
    </row>
    <row r="40">
      <c r="A40" s="58"/>
    </row>
    <row r="41">
      <c r="A41" s="58"/>
    </row>
    <row r="42">
      <c r="A42" s="58"/>
    </row>
    <row r="43">
      <c r="A43" s="58"/>
    </row>
    <row r="44">
      <c r="A44" s="58"/>
    </row>
  </sheetData>
  <mergeCells count="2">
    <mergeCell ref="A1:I1"/>
    <mergeCell ref="A8:H8"/>
  </mergeCells>
  <printOptions headings="0" gridLines="0" horizontalCentered="1"/>
  <pageMargins left="0.59027777777777801" right="0.59027777777777801" top="1.1812499999999999" bottom="0.78750000000000009" header="0.3152777777777779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&amp;RPágina&amp;P -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47D45A"/>
    <outlinePr applyStyles="0" summaryBelow="1" summaryRight="1" showOutlineSymbols="1"/>
    <pageSetUpPr autoPageBreaks="1" fitToPage="1"/>
  </sheetPr>
  <sheetViews>
    <sheetView showGridLines="0" topLeftCell="A23" zoomScale="100" workbookViewId="0">
      <selection activeCell="G12" activeCellId="0" sqref="G12"/>
    </sheetView>
  </sheetViews>
  <sheetFormatPr defaultColWidth="9.125" defaultRowHeight="14.25"/>
  <cols>
    <col customWidth="1" min="1" max="1" style="99" width="18.5"/>
    <col min="2" max="2" style="99" width="9.125"/>
    <col customWidth="1" min="3" max="3" style="99" width="63.125"/>
    <col customWidth="1" min="4" max="4" style="99" width="10.125"/>
    <col customWidth="1" min="5" max="5" style="100" width="13.875"/>
    <col customWidth="1" min="6" max="6" style="99" width="15.75"/>
    <col customWidth="1" min="7" max="7" style="99" width="14.5"/>
    <col customWidth="1" min="8" max="8" style="99" width="12.625"/>
    <col customWidth="1" min="9" max="9" style="99" width="20.375"/>
    <col customWidth="1" min="10" max="10" style="99" width="17.5"/>
    <col customWidth="1" min="11" max="11" style="99" width="16.625"/>
    <col customWidth="1" min="12" max="12" style="99" width="15.625"/>
    <col customWidth="1" min="13" max="13" style="99" width="14.375"/>
    <col min="14" max="16384" style="99" width="9.125"/>
  </cols>
  <sheetData>
    <row r="1" ht="24" customHeight="1">
      <c r="A1" s="101" t="s">
        <v>73</v>
      </c>
      <c r="B1" s="102"/>
      <c r="C1" s="102"/>
      <c r="D1" s="102"/>
      <c r="E1" s="102"/>
      <c r="F1" s="102"/>
      <c r="G1" s="103"/>
    </row>
    <row r="2" ht="5.25" customHeight="1">
      <c r="A2" s="104"/>
      <c r="B2" s="105"/>
      <c r="C2" s="105"/>
      <c r="D2" s="105"/>
      <c r="E2" s="105"/>
      <c r="F2" s="105"/>
      <c r="G2" s="106"/>
    </row>
    <row r="3" ht="12.75" customHeight="1">
      <c r="A3" s="107"/>
      <c r="G3" s="108"/>
      <c r="H3" s="109"/>
      <c r="I3" s="100"/>
      <c r="J3" s="100" t="s">
        <v>74</v>
      </c>
      <c r="K3" s="100" t="s">
        <v>75</v>
      </c>
      <c r="L3" s="100"/>
    </row>
    <row r="4" ht="12.75" customHeight="1">
      <c r="A4" s="110" t="s">
        <v>76</v>
      </c>
      <c r="B4" s="111"/>
      <c r="C4" s="111"/>
      <c r="D4" s="111"/>
      <c r="E4" s="111"/>
      <c r="F4" s="111"/>
      <c r="G4" s="112"/>
      <c r="H4" s="113"/>
      <c r="I4" s="100">
        <v>2024</v>
      </c>
      <c r="J4" s="114">
        <v>87103</v>
      </c>
      <c r="K4" s="114">
        <v>113000</v>
      </c>
      <c r="L4" s="114"/>
      <c r="M4" s="115"/>
    </row>
    <row r="5" ht="12.75" customHeight="1">
      <c r="A5" s="116"/>
      <c r="B5" s="117"/>
      <c r="C5" s="117"/>
      <c r="D5" s="117"/>
      <c r="E5" s="118"/>
      <c r="F5" s="117"/>
      <c r="G5" s="119"/>
      <c r="I5" s="100">
        <v>2023</v>
      </c>
      <c r="J5" s="114">
        <v>95496</v>
      </c>
      <c r="K5" s="114">
        <v>117297</v>
      </c>
      <c r="L5" s="114"/>
      <c r="M5" s="115"/>
    </row>
    <row r="6" ht="12.75" customHeight="1">
      <c r="A6" s="120" t="s">
        <v>77</v>
      </c>
      <c r="B6" s="121" t="s">
        <v>78</v>
      </c>
      <c r="C6" s="117"/>
      <c r="D6" s="117"/>
      <c r="E6" s="118"/>
      <c r="F6" s="117"/>
      <c r="G6" s="119"/>
      <c r="I6" s="100">
        <v>2022</v>
      </c>
      <c r="J6" s="114">
        <v>80487</v>
      </c>
      <c r="K6" s="114">
        <v>114855</v>
      </c>
      <c r="L6" s="114"/>
      <c r="M6" s="115"/>
    </row>
    <row r="7" ht="15" customHeight="1">
      <c r="A7" s="116"/>
      <c r="B7" s="117"/>
      <c r="C7" s="117"/>
      <c r="D7" s="117"/>
      <c r="E7" s="118"/>
      <c r="F7" s="117"/>
      <c r="G7" s="119"/>
      <c r="I7" s="100">
        <v>2021</v>
      </c>
      <c r="J7" s="114">
        <v>72652</v>
      </c>
      <c r="K7" s="114">
        <v>112000</v>
      </c>
      <c r="L7" s="114"/>
      <c r="M7" s="115"/>
    </row>
    <row r="8" ht="21" customHeight="1">
      <c r="A8" s="122" t="s">
        <v>79</v>
      </c>
      <c r="B8" s="118"/>
      <c r="C8" s="118"/>
      <c r="D8" s="118"/>
      <c r="E8" s="118"/>
      <c r="F8" s="118"/>
      <c r="G8" s="119"/>
      <c r="I8" s="100">
        <v>2020</v>
      </c>
      <c r="J8" s="114">
        <v>60926</v>
      </c>
      <c r="K8" s="114">
        <v>115000</v>
      </c>
      <c r="L8" s="123"/>
      <c r="M8" s="115"/>
    </row>
    <row r="9">
      <c r="A9" s="122" t="s">
        <v>80</v>
      </c>
      <c r="B9" s="118" t="s">
        <v>81</v>
      </c>
      <c r="C9" s="124" t="s">
        <v>82</v>
      </c>
      <c r="D9" s="124" t="s">
        <v>83</v>
      </c>
      <c r="E9" s="124"/>
      <c r="F9" s="125" t="s">
        <v>84</v>
      </c>
      <c r="G9" s="119"/>
      <c r="I9" s="100"/>
      <c r="J9" s="114"/>
      <c r="K9" s="114"/>
    </row>
    <row r="10" ht="15" customHeight="1">
      <c r="A10" s="126" t="s">
        <v>85</v>
      </c>
      <c r="B10" s="127">
        <v>1996</v>
      </c>
      <c r="C10" s="100" t="s">
        <v>74</v>
      </c>
      <c r="D10" s="128">
        <v>118900</v>
      </c>
      <c r="E10" s="128"/>
      <c r="F10" s="127" t="s">
        <v>86</v>
      </c>
      <c r="G10" s="108"/>
      <c r="I10" s="129" t="s">
        <v>87</v>
      </c>
      <c r="J10" s="114">
        <v>7321.1999999999998</v>
      </c>
      <c r="K10" s="114">
        <v>9096.7999999999993</v>
      </c>
      <c r="L10" s="114"/>
      <c r="M10" s="130"/>
    </row>
    <row r="11" ht="15" customHeight="1">
      <c r="A11" s="126" t="s">
        <v>88</v>
      </c>
      <c r="B11" s="127">
        <v>2011</v>
      </c>
      <c r="C11" s="100" t="s">
        <v>89</v>
      </c>
      <c r="D11" s="128">
        <v>150790</v>
      </c>
      <c r="E11" s="128"/>
      <c r="F11" s="131" t="s">
        <v>86</v>
      </c>
      <c r="G11" s="108"/>
    </row>
    <row r="12" ht="15" customHeight="1">
      <c r="A12" s="116"/>
      <c r="B12" s="117"/>
      <c r="C12" s="117"/>
      <c r="D12" s="117"/>
      <c r="E12" s="118"/>
      <c r="F12" s="117"/>
      <c r="G12" s="119"/>
    </row>
    <row r="13" ht="18" customHeight="1">
      <c r="A13" s="122" t="s">
        <v>90</v>
      </c>
      <c r="B13" s="118"/>
      <c r="C13" s="118"/>
      <c r="D13" s="118"/>
      <c r="E13" s="132">
        <f>AVERAGE(D10:E10)+D11</f>
        <v>269690</v>
      </c>
      <c r="F13" s="132"/>
      <c r="G13" s="119"/>
    </row>
    <row r="14" ht="18" customHeight="1">
      <c r="A14" s="122"/>
      <c r="B14" s="118"/>
      <c r="C14" s="118"/>
      <c r="D14" s="118"/>
      <c r="E14" s="133"/>
      <c r="F14" s="133"/>
      <c r="G14" s="119"/>
    </row>
    <row r="15" ht="18.75" customHeight="1">
      <c r="A15" s="116"/>
      <c r="B15" s="117"/>
      <c r="C15" s="117"/>
      <c r="D15" s="117"/>
      <c r="E15" s="118"/>
      <c r="F15" s="117"/>
      <c r="G15" s="119"/>
    </row>
    <row r="16">
      <c r="A16" s="134" t="s">
        <v>91</v>
      </c>
      <c r="B16" s="135">
        <v>522.49000000000001</v>
      </c>
      <c r="C16" s="136" t="s">
        <v>92</v>
      </c>
      <c r="D16" s="100" t="s">
        <v>93</v>
      </c>
      <c r="E16" s="100"/>
      <c r="F16" s="137">
        <v>1</v>
      </c>
      <c r="G16" s="138"/>
    </row>
    <row r="17">
      <c r="A17" s="139" t="s">
        <v>94</v>
      </c>
      <c r="B17" s="135">
        <f>(21.42*24)-B16</f>
        <v>-8.4099999999999682</v>
      </c>
      <c r="C17" s="140"/>
      <c r="D17" s="100" t="s">
        <v>95</v>
      </c>
      <c r="E17" s="100"/>
      <c r="F17" s="141">
        <v>5</v>
      </c>
      <c r="G17" s="108"/>
      <c r="J17" s="109"/>
      <c r="K17" s="142"/>
    </row>
    <row r="18" ht="15" customHeight="1">
      <c r="A18" s="143" t="s">
        <v>96</v>
      </c>
      <c r="B18" s="135">
        <f>SETORES!I8</f>
        <v>3727.0083960000002</v>
      </c>
      <c r="C18" s="140" t="s">
        <v>97</v>
      </c>
      <c r="D18" s="100" t="s">
        <v>98</v>
      </c>
      <c r="E18" s="100"/>
      <c r="F18" s="141">
        <f>F17*12*B16</f>
        <v>31349.400000000001</v>
      </c>
      <c r="G18" s="108"/>
      <c r="H18" s="144"/>
      <c r="J18" s="145"/>
    </row>
    <row r="19">
      <c r="A19" s="143" t="s">
        <v>99</v>
      </c>
      <c r="B19" s="135">
        <f>B18/B16</f>
        <v>7.133166942907998</v>
      </c>
      <c r="C19" s="140" t="s">
        <v>100</v>
      </c>
      <c r="D19" s="100" t="s">
        <v>101</v>
      </c>
      <c r="E19" s="100"/>
      <c r="F19" s="146">
        <f>SELIC</f>
        <v>0.13250000000000001</v>
      </c>
      <c r="G19" s="147"/>
      <c r="H19" s="148"/>
      <c r="I19" s="99" t="s">
        <v>102</v>
      </c>
      <c r="J19" s="145" t="s">
        <v>103</v>
      </c>
    </row>
    <row r="20">
      <c r="A20" s="143" t="s">
        <v>104</v>
      </c>
      <c r="B20" s="149">
        <f>COLETA!B30</f>
        <v>1.5059685832682403</v>
      </c>
      <c r="C20" s="140" t="s">
        <v>100</v>
      </c>
      <c r="D20" s="100" t="s">
        <v>105</v>
      </c>
      <c r="E20" s="100"/>
      <c r="F20" s="150">
        <v>0.5</v>
      </c>
      <c r="G20" s="108"/>
      <c r="H20" s="151"/>
      <c r="I20" s="99">
        <f>1400/10000</f>
        <v>0.14000000000000001</v>
      </c>
      <c r="J20" s="114">
        <f>I20*B19</f>
        <v>0.99864337200711983</v>
      </c>
    </row>
    <row r="21" ht="23.850000000000001" customHeight="1">
      <c r="A21" s="107"/>
      <c r="B21" s="100"/>
      <c r="D21" s="127" t="s">
        <v>106</v>
      </c>
      <c r="E21" s="127"/>
      <c r="F21" s="152">
        <v>22785</v>
      </c>
      <c r="G21" s="108"/>
      <c r="H21" s="109"/>
      <c r="I21" s="153" t="s">
        <v>107</v>
      </c>
      <c r="J21" s="154" t="s">
        <v>108</v>
      </c>
      <c r="K21" s="100" t="s">
        <v>109</v>
      </c>
    </row>
    <row r="22" ht="15" customHeight="1">
      <c r="A22" s="107"/>
      <c r="D22" s="100"/>
      <c r="F22" s="155"/>
      <c r="G22" s="108"/>
      <c r="H22" s="109"/>
      <c r="I22" s="156">
        <f>G29*B16*12</f>
        <v>28587.139999999999</v>
      </c>
      <c r="J22" s="157">
        <f>(((1-F20)+1)/2)*E13</f>
        <v>202267.5</v>
      </c>
      <c r="K22" s="158">
        <f>J22*F19</f>
        <v>26800.443750000002</v>
      </c>
    </row>
    <row r="23" ht="15" customHeight="1">
      <c r="A23" s="159" t="s">
        <v>110</v>
      </c>
      <c r="B23" s="160"/>
      <c r="C23" s="161"/>
      <c r="D23" s="161"/>
      <c r="E23" s="162"/>
      <c r="F23" s="160"/>
      <c r="G23" s="163"/>
      <c r="I23" s="164"/>
      <c r="J23" s="165"/>
      <c r="K23" s="166"/>
    </row>
    <row r="24" ht="14.25" customHeight="1">
      <c r="A24" s="167" t="s">
        <v>111</v>
      </c>
      <c r="B24" s="168"/>
      <c r="C24" s="168"/>
      <c r="D24" s="169" t="s">
        <v>112</v>
      </c>
      <c r="E24" s="169" t="s">
        <v>113</v>
      </c>
      <c r="F24" s="169" t="s">
        <v>114</v>
      </c>
      <c r="G24" s="170" t="s">
        <v>115</v>
      </c>
      <c r="H24" s="109"/>
      <c r="I24" s="109"/>
      <c r="J24" s="165"/>
      <c r="K24" s="166"/>
    </row>
    <row r="25">
      <c r="A25" s="171" t="s">
        <v>116</v>
      </c>
      <c r="B25" s="172" t="str">
        <f>"MANUTENÇÃO ("&amp;F16*100&amp;"% do preço de aquisição em "&amp;F17&amp;" anos)"</f>
        <v xml:space="preserve">MANUTENÇÃO (100% do preço de aquisição em 5 anos)</v>
      </c>
      <c r="C25" s="172"/>
      <c r="D25" s="169" t="s">
        <v>117</v>
      </c>
      <c r="E25" s="173">
        <f>(F16/(B16*60))</f>
        <v>3.1898537133087078e-005</v>
      </c>
      <c r="F25" s="174">
        <f>E13</f>
        <v>269690</v>
      </c>
      <c r="G25" s="175">
        <f t="shared" ref="G25:G32" si="0">F25*E25</f>
        <v>8.6027164794222539</v>
      </c>
      <c r="H25" s="109"/>
      <c r="I25" s="109"/>
      <c r="J25" s="165"/>
      <c r="K25" s="166"/>
    </row>
    <row r="26" ht="14.25" customHeight="1">
      <c r="A26" s="171" t="s">
        <v>116</v>
      </c>
      <c r="B26" s="172" t="s">
        <v>118</v>
      </c>
      <c r="C26" s="172"/>
      <c r="D26" s="169" t="s">
        <v>119</v>
      </c>
      <c r="E26" s="176">
        <f>B19/B20</f>
        <v>4.7365974444351684</v>
      </c>
      <c r="F26" s="177">
        <f>DIESEL</f>
        <v>5.9000000000000004</v>
      </c>
      <c r="G26" s="175">
        <f t="shared" si="0"/>
        <v>27.945924922167496</v>
      </c>
      <c r="I26" s="151"/>
      <c r="J26" s="165"/>
      <c r="K26" s="166"/>
    </row>
    <row r="27">
      <c r="A27" s="171" t="s">
        <v>116</v>
      </c>
      <c r="B27" s="178" t="str">
        <f>"GRAXAS, ÓLEOS LUBRIFICANTES, FILTROS ("&amp;E27*100&amp;"% sobre combustível)"</f>
        <v xml:space="preserve">GRAXAS, ÓLEOS LUBRIFICANTES, FILTROS (20% sobre combustível)</v>
      </c>
      <c r="C27" s="178"/>
      <c r="D27" s="169" t="s">
        <v>117</v>
      </c>
      <c r="E27" s="179">
        <v>0.20000000000000001</v>
      </c>
      <c r="F27" s="180">
        <f>G26</f>
        <v>27.945924922167496</v>
      </c>
      <c r="G27" s="175">
        <f t="shared" si="0"/>
        <v>5.5891849844334995</v>
      </c>
      <c r="I27" s="151"/>
      <c r="J27" s="117"/>
      <c r="K27" s="166"/>
    </row>
    <row r="28" ht="29.25" customHeight="1">
      <c r="A28" s="171" t="s">
        <v>116</v>
      </c>
      <c r="B28" s="172" t="s">
        <v>120</v>
      </c>
      <c r="C28" s="172"/>
      <c r="D28" s="169" t="s">
        <v>117</v>
      </c>
      <c r="E28" s="181">
        <f>B19/F21</f>
        <v>3.1306416251516338e-004</v>
      </c>
      <c r="F28" s="180">
        <f>6*(2000+950)</f>
        <v>17700</v>
      </c>
      <c r="G28" s="175">
        <f t="shared" si="0"/>
        <v>5.5412356765183919</v>
      </c>
    </row>
    <row r="29" ht="14.25" customHeight="1">
      <c r="A29" s="171" t="s">
        <v>121</v>
      </c>
      <c r="B29" s="172" t="s">
        <v>122</v>
      </c>
      <c r="C29" s="172"/>
      <c r="D29" s="182" t="s">
        <v>123</v>
      </c>
      <c r="E29" s="181">
        <f>IFERROR(((((F20*E13)*(F17+1)/(2*F17))+((1-F20)*E13))*F19/(F18/F17))/F29,0)</f>
        <v>1.6906224680536153e-005</v>
      </c>
      <c r="F29" s="174">
        <f>IF(B6="LOCADO",0,E13)</f>
        <v>269690</v>
      </c>
      <c r="G29" s="175">
        <f t="shared" si="0"/>
        <v>4.5594397340937949</v>
      </c>
      <c r="J29" s="109"/>
    </row>
    <row r="30" ht="15" customHeight="1">
      <c r="A30" s="171" t="s">
        <v>121</v>
      </c>
      <c r="B30" s="172" t="str">
        <f>"DEPRECIAÇÃO CHASSI ("&amp;ROUND(F20,2)*100&amp;"% preço aquisição em 5 anos)"</f>
        <v xml:space="preserve">DEPRECIAÇÃO CHASSI (50% preço aquisição em 5 anos)</v>
      </c>
      <c r="C30" s="172"/>
      <c r="D30" s="182" t="s">
        <v>117</v>
      </c>
      <c r="E30" s="181">
        <f>IF(B6="LOCADO",0,F20/(B16*60))*(B16/720)</f>
        <v>1.1574074074074075e-005</v>
      </c>
      <c r="F30" s="174">
        <f>IF(B6="LOCADO",0,E13)</f>
        <v>269690</v>
      </c>
      <c r="G30" s="175">
        <f t="shared" si="0"/>
        <v>3.1214120370370373</v>
      </c>
      <c r="H30" s="109"/>
      <c r="J30" s="109"/>
    </row>
    <row r="31" ht="14.25" customHeight="1">
      <c r="A31" s="171" t="s">
        <v>121</v>
      </c>
      <c r="B31" s="172" t="s">
        <v>124</v>
      </c>
      <c r="C31" s="172"/>
      <c r="D31" s="182" t="s">
        <v>117</v>
      </c>
      <c r="E31" s="181">
        <f>IFERROR(((0.01+0.04)/(B16*12)+(112.4/(F31*B16*12)))*(B16/SUM(B16:B17)),0)</f>
        <v>8.1726538696196672e-006</v>
      </c>
      <c r="F31" s="174">
        <f>IF(B6="LOCADO",0,E13)</f>
        <v>269690</v>
      </c>
      <c r="G31" s="175">
        <f t="shared" si="0"/>
        <v>2.2040830220977279</v>
      </c>
      <c r="H31" s="183"/>
    </row>
    <row r="32" ht="14.25" customHeight="1">
      <c r="A32" s="171" t="s">
        <v>121</v>
      </c>
      <c r="B32" s="172" t="s">
        <v>125</v>
      </c>
      <c r="C32" s="172"/>
      <c r="D32" s="182" t="s">
        <v>117</v>
      </c>
      <c r="E32" s="181">
        <f>IF(B6="LOCADO",B16/(B16*720),0)</f>
        <v>0</v>
      </c>
      <c r="F32" s="174">
        <f>E14</f>
        <v>0</v>
      </c>
      <c r="G32" s="175">
        <f t="shared" si="0"/>
        <v>0</v>
      </c>
      <c r="H32" s="184"/>
    </row>
    <row r="33" ht="15" customHeight="1">
      <c r="A33" s="185" t="s">
        <v>126</v>
      </c>
      <c r="B33" s="186"/>
      <c r="C33" s="186"/>
      <c r="D33" s="187"/>
      <c r="E33" s="188"/>
      <c r="F33" s="189"/>
      <c r="G33" s="190">
        <f>ROUND(SUM(G25:G32),2)</f>
        <v>57.560000000000002</v>
      </c>
      <c r="H33" s="151"/>
      <c r="K33" s="191" t="s">
        <v>127</v>
      </c>
      <c r="L33" s="192"/>
    </row>
    <row r="34" ht="15" customHeight="1">
      <c r="A34" s="193"/>
      <c r="B34" s="194"/>
      <c r="C34" s="195"/>
      <c r="D34" s="196"/>
      <c r="E34" s="197"/>
      <c r="F34" s="198"/>
      <c r="G34" s="199"/>
    </row>
    <row r="35" ht="14.25" customHeight="1">
      <c r="A35" s="200" t="s">
        <v>128</v>
      </c>
      <c r="B35" s="161"/>
      <c r="C35" s="161"/>
      <c r="D35" s="161"/>
      <c r="E35" s="201"/>
      <c r="F35" s="161"/>
      <c r="G35" s="202"/>
      <c r="I35" s="124" t="s">
        <v>129</v>
      </c>
      <c r="J35" s="124"/>
      <c r="K35" s="124"/>
      <c r="L35" s="118"/>
    </row>
    <row r="36" ht="14.25" customHeight="1">
      <c r="A36" s="167" t="s">
        <v>130</v>
      </c>
      <c r="B36" s="168"/>
      <c r="C36" s="168"/>
      <c r="D36" s="203" t="s">
        <v>112</v>
      </c>
      <c r="E36" s="203" t="s">
        <v>113</v>
      </c>
      <c r="F36" s="203" t="s">
        <v>114</v>
      </c>
      <c r="G36" s="204" t="s">
        <v>115</v>
      </c>
      <c r="I36" s="205" t="s">
        <v>131</v>
      </c>
      <c r="J36" s="100" t="s">
        <v>132</v>
      </c>
      <c r="K36" s="100" t="s">
        <v>133</v>
      </c>
      <c r="L36" s="118"/>
    </row>
    <row r="37">
      <c r="A37" s="171" t="s">
        <v>116</v>
      </c>
      <c r="B37" s="172" t="str">
        <f>"DEPRECIAÇÃO CHASSI ("&amp;ROUND(F20,2)*100&amp;"% preço aquisição em 5 anos)"</f>
        <v xml:space="preserve">DEPRECIAÇÃO CHASSI (50% preço aquisição em 5 anos)</v>
      </c>
      <c r="C37" s="172"/>
      <c r="D37" s="182" t="s">
        <v>117</v>
      </c>
      <c r="E37" s="181">
        <f>IF(B6="LOCADO",0,(F20/(B17*60))*(B17/720))</f>
        <v>1.1574074074074075e-005</v>
      </c>
      <c r="F37" s="174">
        <f>IF(B6="LOCADO",0,E13)</f>
        <v>269690</v>
      </c>
      <c r="G37" s="175">
        <f t="shared" ref="G37:G40" si="1">F37*E37</f>
        <v>3.1214120370370373</v>
      </c>
      <c r="I37" s="99" t="s">
        <v>134</v>
      </c>
      <c r="J37" s="158">
        <f>ROUND(E45*G26,2)</f>
        <v>3650.3699999999999</v>
      </c>
      <c r="K37" s="158">
        <f t="shared" ref="K37:K39" si="2">J37*(1+$L$33)</f>
        <v>3650.3699999999999</v>
      </c>
      <c r="L37" s="115"/>
    </row>
    <row r="38" ht="24.600000000000001" customHeight="1">
      <c r="A38" s="171" t="s">
        <v>116</v>
      </c>
      <c r="B38" s="172" t="s">
        <v>124</v>
      </c>
      <c r="C38" s="172"/>
      <c r="D38" s="182" t="s">
        <v>117</v>
      </c>
      <c r="E38" s="181">
        <f>IFERROR(((0.01+0.04)/(B16*12)+(112.4/(F38*B16*12)))*(B16/SUM(B16:B17)),0)</f>
        <v>8.1726538696196672e-006</v>
      </c>
      <c r="F38" s="174">
        <f>IF(B6="LOCADO",0,E13)</f>
        <v>269690</v>
      </c>
      <c r="G38" s="175">
        <f t="shared" si="1"/>
        <v>2.2040830220977279</v>
      </c>
      <c r="H38" s="109"/>
      <c r="I38" s="99" t="s">
        <v>135</v>
      </c>
      <c r="J38" s="158">
        <f>ROUND(E45*G27,2)</f>
        <v>730.07000000000005</v>
      </c>
      <c r="K38" s="158">
        <f t="shared" si="2"/>
        <v>730.07000000000005</v>
      </c>
      <c r="L38" s="115"/>
    </row>
    <row r="39" ht="14.25" customHeight="1">
      <c r="A39" s="171" t="s">
        <v>121</v>
      </c>
      <c r="B39" s="172" t="s">
        <v>125</v>
      </c>
      <c r="C39" s="172"/>
      <c r="D39" s="182" t="s">
        <v>117</v>
      </c>
      <c r="E39" s="181">
        <f>IF(B6="LOCADO",B17/(B17*720),0)</f>
        <v>0</v>
      </c>
      <c r="F39" s="174">
        <f>F32</f>
        <v>0</v>
      </c>
      <c r="G39" s="175">
        <f t="shared" si="1"/>
        <v>0</v>
      </c>
      <c r="H39" s="109"/>
      <c r="I39" s="99" t="s">
        <v>136</v>
      </c>
      <c r="J39" s="158">
        <f>ROUND(E45*G28,2)</f>
        <v>723.81000000000006</v>
      </c>
      <c r="K39" s="158">
        <f t="shared" si="2"/>
        <v>723.81000000000006</v>
      </c>
      <c r="L39" s="115"/>
    </row>
    <row r="40" ht="14.25" customHeight="1">
      <c r="A40" s="171" t="s">
        <v>121</v>
      </c>
      <c r="B40" s="172" t="s">
        <v>137</v>
      </c>
      <c r="C40" s="172"/>
      <c r="D40" s="182" t="s">
        <v>117</v>
      </c>
      <c r="E40" s="181">
        <f>4/B17</f>
        <v>-0.47562425683710047</v>
      </c>
      <c r="F40" s="174">
        <v>300</v>
      </c>
      <c r="G40" s="175">
        <f t="shared" si="1"/>
        <v>-142.68727705113014</v>
      </c>
      <c r="H40" s="109"/>
      <c r="J40" s="206">
        <f>SUM(J37:J39)</f>
        <v>5104.25</v>
      </c>
      <c r="K40" s="207">
        <f>SUM(K37:K39)</f>
        <v>5104.25</v>
      </c>
      <c r="L40" s="208"/>
    </row>
    <row r="41" ht="14.25" customHeight="1">
      <c r="A41" s="209" t="s">
        <v>138</v>
      </c>
      <c r="B41" s="203"/>
      <c r="C41" s="203"/>
      <c r="D41" s="210"/>
      <c r="E41" s="203"/>
      <c r="F41" s="210"/>
      <c r="G41" s="211">
        <f>ROUND(SUM(G37:G40),2)</f>
        <v>-137.36000000000001</v>
      </c>
      <c r="I41" s="205" t="s">
        <v>139</v>
      </c>
      <c r="J41" s="100" t="s">
        <v>132</v>
      </c>
      <c r="K41" s="100" t="s">
        <v>133</v>
      </c>
      <c r="L41" s="115"/>
    </row>
    <row r="42">
      <c r="A42" s="212"/>
      <c r="B42" s="213"/>
      <c r="C42" s="213"/>
      <c r="D42" s="214"/>
      <c r="E42" s="213"/>
      <c r="F42" s="214"/>
      <c r="G42" s="108"/>
      <c r="I42" s="99" t="s">
        <v>140</v>
      </c>
      <c r="J42" s="215">
        <f>ROUND(720*G30,2)</f>
        <v>2247.4200000000001</v>
      </c>
      <c r="K42" s="158">
        <f t="shared" ref="K42:K46" si="3">J42*(1+$L$33)</f>
        <v>2247.4200000000001</v>
      </c>
      <c r="L42" s="115"/>
    </row>
    <row r="43">
      <c r="A43" s="200" t="s">
        <v>141</v>
      </c>
      <c r="B43" s="161"/>
      <c r="C43" s="161"/>
      <c r="D43" s="161"/>
      <c r="E43" s="201"/>
      <c r="F43" s="161"/>
      <c r="G43" s="216"/>
      <c r="I43" s="217" t="s">
        <v>142</v>
      </c>
      <c r="J43" s="215">
        <f>ROUND(G29*B16,2)</f>
        <v>2382.2600000000002</v>
      </c>
      <c r="K43" s="158">
        <f t="shared" si="3"/>
        <v>2382.2600000000002</v>
      </c>
      <c r="L43" s="115"/>
    </row>
    <row r="44">
      <c r="A44" s="218" t="s">
        <v>143</v>
      </c>
      <c r="B44" s="219"/>
      <c r="C44" s="219"/>
      <c r="D44" s="219" t="s">
        <v>144</v>
      </c>
      <c r="E44" s="219" t="s">
        <v>113</v>
      </c>
      <c r="F44" s="219" t="s">
        <v>114</v>
      </c>
      <c r="G44" s="220" t="s">
        <v>115</v>
      </c>
      <c r="I44" s="217" t="s">
        <v>145</v>
      </c>
      <c r="J44" s="215">
        <f>ROUND(G25*B16,2)</f>
        <v>4494.8299999999999</v>
      </c>
      <c r="K44" s="158">
        <f t="shared" si="3"/>
        <v>4494.8299999999999</v>
      </c>
      <c r="L44" s="115"/>
    </row>
    <row r="45">
      <c r="A45" s="221" t="s">
        <v>146</v>
      </c>
      <c r="B45" s="222"/>
      <c r="C45" s="222"/>
      <c r="D45" s="223" t="s">
        <v>147</v>
      </c>
      <c r="E45" s="223">
        <f t="shared" ref="E45:E46" si="4">B16/4</f>
        <v>130.6225</v>
      </c>
      <c r="F45" s="224">
        <f>G33</f>
        <v>57.560000000000002</v>
      </c>
      <c r="G45" s="225">
        <f t="shared" ref="G45:G46" si="5">ROUND(F45*E45,2)</f>
        <v>7518.6300000000001</v>
      </c>
      <c r="H45" s="109"/>
      <c r="I45" s="99" t="s">
        <v>148</v>
      </c>
      <c r="J45" s="215">
        <f>ROUND(720*G31,2)</f>
        <v>1586.9400000000001</v>
      </c>
      <c r="K45" s="158">
        <f t="shared" si="3"/>
        <v>1586.9400000000001</v>
      </c>
      <c r="L45" s="115"/>
    </row>
    <row r="46">
      <c r="A46" s="221" t="s">
        <v>149</v>
      </c>
      <c r="B46" s="222"/>
      <c r="C46" s="222"/>
      <c r="D46" s="223" t="s">
        <v>147</v>
      </c>
      <c r="E46" s="223">
        <f t="shared" si="4"/>
        <v>-2.102499999999992</v>
      </c>
      <c r="F46" s="224">
        <f>G41</f>
        <v>-137.36000000000001</v>
      </c>
      <c r="G46" s="225">
        <f t="shared" si="5"/>
        <v>288.80000000000001</v>
      </c>
      <c r="H46" s="109"/>
      <c r="I46" s="99" t="s">
        <v>150</v>
      </c>
      <c r="J46" s="109">
        <f>IF(B6="LOCADO",E14,0)</f>
        <v>0</v>
      </c>
      <c r="K46" s="158">
        <f t="shared" si="3"/>
        <v>0</v>
      </c>
      <c r="L46" s="115"/>
    </row>
    <row r="47">
      <c r="A47" s="143"/>
      <c r="B47" s="129"/>
      <c r="C47" s="129"/>
      <c r="D47" s="226"/>
      <c r="E47" s="227" t="s">
        <v>151</v>
      </c>
      <c r="F47" s="227"/>
      <c r="G47" s="228">
        <f>SUM(G45:G46)</f>
        <v>7807.4300000000003</v>
      </c>
      <c r="J47" s="206">
        <f>SUM(J42:J46)</f>
        <v>10711.450000000001</v>
      </c>
      <c r="K47" s="207">
        <f>SUM(K42:K46)</f>
        <v>10711.450000000001</v>
      </c>
      <c r="L47" s="208"/>
    </row>
    <row r="48">
      <c r="A48" s="143"/>
      <c r="B48" s="129"/>
      <c r="C48" s="129"/>
      <c r="D48" s="226"/>
      <c r="E48" s="226"/>
      <c r="F48" s="229"/>
      <c r="G48" s="230"/>
      <c r="J48" s="148"/>
      <c r="L48" s="115"/>
    </row>
    <row r="49">
      <c r="A49" s="200" t="s">
        <v>152</v>
      </c>
      <c r="B49" s="231"/>
      <c r="C49" s="231"/>
      <c r="D49" s="232"/>
      <c r="E49" s="232"/>
      <c r="F49" s="233"/>
      <c r="G49" s="234"/>
      <c r="I49" s="124" t="s">
        <v>115</v>
      </c>
      <c r="J49" s="206">
        <f>J40+J47</f>
        <v>15815.700000000001</v>
      </c>
      <c r="K49" s="206">
        <f>K40+K47</f>
        <v>15815.700000000001</v>
      </c>
      <c r="L49" s="208"/>
    </row>
    <row r="50">
      <c r="A50" s="218" t="s">
        <v>143</v>
      </c>
      <c r="B50" s="219"/>
      <c r="C50" s="219"/>
      <c r="D50" s="219" t="s">
        <v>144</v>
      </c>
      <c r="E50" s="219" t="s">
        <v>113</v>
      </c>
      <c r="F50" s="219" t="s">
        <v>114</v>
      </c>
      <c r="G50" s="220" t="s">
        <v>115</v>
      </c>
      <c r="I50" s="235"/>
      <c r="J50" s="235"/>
      <c r="K50" s="235"/>
    </row>
    <row r="51">
      <c r="A51" s="221" t="s">
        <v>153</v>
      </c>
      <c r="B51" s="222"/>
      <c r="C51" s="222"/>
      <c r="D51" s="223" t="s">
        <v>147</v>
      </c>
      <c r="E51" s="223">
        <v>4</v>
      </c>
      <c r="F51" s="224">
        <f t="shared" ref="F51:F52" si="6">G45</f>
        <v>7518.6300000000001</v>
      </c>
      <c r="G51" s="225">
        <f t="shared" ref="G51:G52" si="7">ROUND(F51*E51,2)</f>
        <v>30074.52</v>
      </c>
      <c r="I51" s="235"/>
      <c r="J51" s="235"/>
      <c r="K51" s="235"/>
    </row>
    <row r="52">
      <c r="A52" s="221" t="s">
        <v>154</v>
      </c>
      <c r="B52" s="222"/>
      <c r="C52" s="222"/>
      <c r="D52" s="223" t="s">
        <v>147</v>
      </c>
      <c r="E52" s="223">
        <v>4</v>
      </c>
      <c r="F52" s="224">
        <f t="shared" si="6"/>
        <v>288.80000000000001</v>
      </c>
      <c r="G52" s="225">
        <f t="shared" si="7"/>
        <v>1155.2</v>
      </c>
      <c r="I52" s="235"/>
      <c r="J52" s="235"/>
      <c r="K52" s="235"/>
    </row>
    <row r="53">
      <c r="A53" s="236"/>
      <c r="B53" s="237"/>
      <c r="C53" s="237"/>
      <c r="D53" s="238"/>
      <c r="E53" s="239" t="s">
        <v>155</v>
      </c>
      <c r="F53" s="239"/>
      <c r="G53" s="240">
        <f>SUM(G51:G52)</f>
        <v>31229.720000000001</v>
      </c>
      <c r="H53" s="109"/>
      <c r="I53" s="235"/>
      <c r="J53" s="235"/>
      <c r="K53" s="235"/>
    </row>
    <row r="54">
      <c r="A54" s="235"/>
      <c r="B54" s="235"/>
      <c r="C54" s="235"/>
      <c r="F54" s="151"/>
      <c r="G54" s="157"/>
    </row>
    <row r="55">
      <c r="A55" s="235"/>
      <c r="B55" s="235"/>
      <c r="C55" s="235"/>
      <c r="G55" s="241"/>
    </row>
    <row r="56">
      <c r="A56" s="235"/>
      <c r="B56" s="235"/>
      <c r="C56" s="235"/>
      <c r="G56" s="241"/>
    </row>
    <row r="57">
      <c r="A57" s="235"/>
      <c r="B57" s="235"/>
      <c r="C57" s="235"/>
      <c r="G57" s="100"/>
    </row>
    <row r="58">
      <c r="A58" s="235"/>
      <c r="B58" s="235"/>
      <c r="C58" s="235"/>
      <c r="G58" s="100"/>
    </row>
    <row r="59">
      <c r="G59" s="100"/>
    </row>
    <row r="60">
      <c r="G60" s="100"/>
    </row>
  </sheetData>
  <mergeCells count="42">
    <mergeCell ref="A1:G1"/>
    <mergeCell ref="A4:G4"/>
    <mergeCell ref="A8:F8"/>
    <mergeCell ref="D9:E9"/>
    <mergeCell ref="D10:E10"/>
    <mergeCell ref="D11:E11"/>
    <mergeCell ref="A13:D13"/>
    <mergeCell ref="E13:F13"/>
    <mergeCell ref="A14:D14"/>
    <mergeCell ref="E14:F14"/>
    <mergeCell ref="D16:E16"/>
    <mergeCell ref="D17:E17"/>
    <mergeCell ref="D18:E18"/>
    <mergeCell ref="D19:E19"/>
    <mergeCell ref="D20:E20"/>
    <mergeCell ref="D21:E21"/>
    <mergeCell ref="A24:C24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I35:K35"/>
    <mergeCell ref="L35:L36"/>
    <mergeCell ref="A36:C36"/>
    <mergeCell ref="B37:C37"/>
    <mergeCell ref="B38:C38"/>
    <mergeCell ref="B39:C39"/>
    <mergeCell ref="B40:C40"/>
    <mergeCell ref="A41:C41"/>
    <mergeCell ref="A44:C44"/>
    <mergeCell ref="A45:C45"/>
    <mergeCell ref="A46:C46"/>
    <mergeCell ref="E47:F47"/>
    <mergeCell ref="A50:C50"/>
    <mergeCell ref="A51:C51"/>
    <mergeCell ref="A52:C52"/>
    <mergeCell ref="E53:F53"/>
  </mergeCells>
  <printOptions headings="0" gridLines="0" horizontalCentered="1"/>
  <pageMargins left="0.59027777777777801" right="0.59027777777777801" top="1.1812499999999999" bottom="0.78750000000000009" header="0.3152777777777779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&amp;RPágina&amp;P - &amp;A</oddHeader>
  </headerFooter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0F5000E-006C-4134-A409-007C008B009A}">
            <xm:f>AND(OR($A26="COMPOSICAO",$A26="INSUMO",$A26&lt;&gt;""),$A26&lt;&gt;"")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diagonal style="none"/>
              </border>
            </x14:dxf>
          </x14:cfRule>
          <xm:sqref>A26:B28 D26:D28</xm:sqref>
        </x14:conditionalFormatting>
        <x14:conditionalFormatting xmlns:xm="http://schemas.microsoft.com/office/excel/2006/main">
          <x14:cfRule type="expression" priority="2" id="{001B0093-00AC-4CD0-8E71-001800ED00C7}">
            <xm:f>AND($A26&lt;&gt;"COMPOSICAO",$A26&lt;&gt;"INSUMO",$A26&lt;&gt;"")</xm:f>
            <x14:dxf>
              <font>
                <b/>
                <i val="0"/>
              </font>
              <fill>
                <patternFill patternType="solid">
                  <fgColor indexed="22"/>
                  <bgColor indexed="22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diagonal style="none"/>
              </border>
            </x14:dxf>
          </x14:cfRule>
          <xm:sqref>A26:B28 D26:D28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A500BE-0000-49F6-AE94-00D1007C00B7}" type="list" allowBlank="1" errorStyle="stop" imeMode="noControl" operator="between" showDropDown="0" showErrorMessage="1" showInputMessage="1">
          <x14:formula1>
            <xm:f>"LOCADO,PRÓPRIO"</xm:f>
          </x14:formula1>
          <x14:formula2>
            <xm:f>0</xm:f>
          </x14:formula2>
          <xm:sqref>B6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47D45A"/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:G1"/>
    </sheetView>
  </sheetViews>
  <sheetFormatPr defaultColWidth="9.125" defaultRowHeight="15"/>
  <cols>
    <col customWidth="1" min="1" max="1" style="99" width="18.5"/>
    <col min="2" max="2" style="99" width="9.125"/>
    <col customWidth="1" min="3" max="3" style="99" width="60.625"/>
    <col customWidth="1" min="4" max="4" style="99" width="11.75"/>
    <col customWidth="1" min="5" max="5" style="100" width="13.875"/>
    <col customWidth="1" min="6" max="6" style="99" width="15.75"/>
    <col customWidth="1" min="7" max="7" style="99" width="14.5"/>
    <col customWidth="1" min="8" max="8" style="99" width="12.625"/>
    <col customWidth="1" min="9" max="9" style="99" width="15.75"/>
    <col customWidth="1" min="10" max="10" style="99" width="12.625"/>
    <col customWidth="1" min="11" max="11" style="99" width="20.375"/>
    <col customWidth="1" min="12" max="12" style="99" width="17.5"/>
    <col customWidth="1" min="13" max="13" style="99" width="16.625"/>
    <col customWidth="1" min="14" max="14" style="99" width="15.625"/>
    <col customWidth="1" min="15" max="15" style="99" width="14.375"/>
    <col min="16" max="16384" style="99" width="9.125"/>
  </cols>
  <sheetData>
    <row r="1" ht="24" customHeight="1">
      <c r="A1" s="242" t="s">
        <v>156</v>
      </c>
      <c r="B1" s="243"/>
      <c r="C1" s="243"/>
      <c r="D1" s="243"/>
      <c r="E1" s="243"/>
      <c r="F1" s="243"/>
      <c r="G1" s="244"/>
    </row>
    <row r="2" ht="5.25" customHeight="1">
      <c r="A2" s="245"/>
      <c r="B2" s="105"/>
      <c r="C2" s="105"/>
      <c r="D2" s="105"/>
      <c r="E2" s="105"/>
      <c r="F2" s="105"/>
      <c r="G2" s="246"/>
    </row>
    <row r="3" ht="12.75" customHeight="1">
      <c r="A3" s="247"/>
      <c r="G3" s="248"/>
      <c r="H3" s="109"/>
      <c r="I3" s="109"/>
      <c r="J3" s="109"/>
      <c r="K3" s="100"/>
      <c r="L3" s="100"/>
      <c r="M3" s="100" t="s">
        <v>157</v>
      </c>
      <c r="N3" s="100"/>
    </row>
    <row r="4" ht="12.75" customHeight="1">
      <c r="A4" s="249" t="s">
        <v>158</v>
      </c>
      <c r="B4" s="250"/>
      <c r="C4" s="250"/>
      <c r="D4" s="250"/>
      <c r="E4" s="250"/>
      <c r="F4" s="250"/>
      <c r="G4" s="251"/>
      <c r="H4" s="113"/>
      <c r="I4" s="113"/>
      <c r="J4" s="113"/>
      <c r="K4" s="100">
        <v>2024</v>
      </c>
      <c r="L4" s="114"/>
      <c r="M4" s="114">
        <v>50977</v>
      </c>
      <c r="N4" s="114"/>
      <c r="O4" s="115">
        <f t="shared" ref="O4:O8" si="8">AVERAGE(L4:N4)</f>
        <v>50977</v>
      </c>
    </row>
    <row r="5" ht="12.75" customHeight="1">
      <c r="A5" s="252"/>
      <c r="B5" s="117"/>
      <c r="C5" s="117"/>
      <c r="D5" s="117"/>
      <c r="E5" s="118"/>
      <c r="F5" s="117"/>
      <c r="G5" s="253"/>
      <c r="K5" s="100">
        <v>2023</v>
      </c>
      <c r="L5" s="114"/>
      <c r="M5" s="114">
        <v>52957</v>
      </c>
      <c r="N5" s="114"/>
      <c r="O5" s="115">
        <f t="shared" si="8"/>
        <v>52957</v>
      </c>
    </row>
    <row r="6" ht="12.75" customHeight="1">
      <c r="A6" s="254" t="s">
        <v>77</v>
      </c>
      <c r="B6" s="121" t="s">
        <v>78</v>
      </c>
      <c r="C6" s="117"/>
      <c r="D6" s="117"/>
      <c r="E6" s="118"/>
      <c r="F6" s="117"/>
      <c r="G6" s="253"/>
      <c r="K6" s="100">
        <v>2022</v>
      </c>
      <c r="L6" s="114"/>
      <c r="M6" s="114">
        <v>46855</v>
      </c>
      <c r="N6" s="114"/>
      <c r="O6" s="115">
        <f t="shared" si="8"/>
        <v>46855</v>
      </c>
    </row>
    <row r="7" ht="15" customHeight="1">
      <c r="A7" s="252"/>
      <c r="B7" s="117"/>
      <c r="C7" s="117"/>
      <c r="D7" s="117"/>
      <c r="E7" s="118"/>
      <c r="F7" s="117"/>
      <c r="G7" s="253"/>
      <c r="K7" s="100">
        <v>2021</v>
      </c>
      <c r="L7" s="114"/>
      <c r="M7" s="114">
        <v>48900</v>
      </c>
      <c r="N7" s="114"/>
      <c r="O7" s="115">
        <f t="shared" si="8"/>
        <v>48900</v>
      </c>
    </row>
    <row r="8" ht="21" customHeight="1">
      <c r="A8" s="255" t="s">
        <v>79</v>
      </c>
      <c r="B8" s="118"/>
      <c r="C8" s="118"/>
      <c r="D8" s="118"/>
      <c r="E8" s="118"/>
      <c r="F8" s="118"/>
      <c r="G8" s="253"/>
      <c r="K8" s="100">
        <v>2020</v>
      </c>
      <c r="L8" s="256"/>
      <c r="M8" s="114">
        <v>39000</v>
      </c>
      <c r="N8" s="114"/>
      <c r="O8" s="115">
        <f t="shared" si="8"/>
        <v>39000</v>
      </c>
    </row>
    <row r="9">
      <c r="A9" s="255" t="s">
        <v>80</v>
      </c>
      <c r="B9" s="118" t="s">
        <v>81</v>
      </c>
      <c r="C9" s="124" t="s">
        <v>82</v>
      </c>
      <c r="D9" s="124" t="s">
        <v>83</v>
      </c>
      <c r="E9" s="124"/>
      <c r="F9" s="125" t="s">
        <v>84</v>
      </c>
      <c r="G9" s="253"/>
      <c r="K9" s="100"/>
      <c r="L9" s="114"/>
      <c r="M9" s="114"/>
    </row>
    <row r="10">
      <c r="A10" s="257" t="s">
        <v>85</v>
      </c>
      <c r="B10" s="127">
        <v>1981</v>
      </c>
      <c r="C10" s="100" t="s">
        <v>159</v>
      </c>
      <c r="D10" s="128" t="s">
        <v>160</v>
      </c>
      <c r="E10" s="128"/>
      <c r="F10" s="127" t="s">
        <v>86</v>
      </c>
      <c r="G10" s="248"/>
      <c r="K10" s="129" t="s">
        <v>87</v>
      </c>
      <c r="L10" s="114"/>
      <c r="M10" s="114">
        <v>9096.7999999999993</v>
      </c>
      <c r="N10" s="114"/>
      <c r="O10" s="258">
        <v>9377.2999999999993</v>
      </c>
    </row>
    <row r="11">
      <c r="A11" s="257"/>
      <c r="B11" s="127" t="s">
        <v>161</v>
      </c>
      <c r="C11" s="100"/>
      <c r="D11" s="259"/>
      <c r="E11" s="259"/>
      <c r="F11" s="131"/>
      <c r="G11" s="248"/>
    </row>
    <row r="12">
      <c r="A12" s="252"/>
      <c r="B12" s="117"/>
      <c r="C12" s="117"/>
      <c r="D12" s="117"/>
      <c r="E12" s="118"/>
      <c r="F12" s="117"/>
      <c r="G12" s="253"/>
    </row>
    <row r="13" ht="18" customHeight="1">
      <c r="A13" s="255" t="s">
        <v>90</v>
      </c>
      <c r="B13" s="118"/>
      <c r="C13" s="118"/>
      <c r="D13" s="118"/>
      <c r="E13" s="260"/>
      <c r="F13" s="260"/>
      <c r="G13" s="253"/>
    </row>
    <row r="14" ht="18" customHeight="1">
      <c r="A14" s="255"/>
      <c r="B14" s="118"/>
      <c r="C14" s="118"/>
      <c r="D14" s="118"/>
      <c r="E14" s="133"/>
      <c r="F14" s="133"/>
      <c r="G14" s="253"/>
    </row>
    <row r="15" ht="18.75" customHeight="1">
      <c r="A15" s="252"/>
      <c r="B15" s="117"/>
      <c r="C15" s="117"/>
      <c r="D15" s="117"/>
      <c r="E15" s="118"/>
      <c r="F15" s="117"/>
      <c r="G15" s="253"/>
    </row>
    <row r="16">
      <c r="A16" s="261" t="s">
        <v>91</v>
      </c>
      <c r="B16" s="135">
        <v>720</v>
      </c>
      <c r="C16" s="205" t="s">
        <v>162</v>
      </c>
      <c r="D16" s="100" t="s">
        <v>93</v>
      </c>
      <c r="E16" s="100"/>
      <c r="F16" s="137">
        <v>0.80000000000000004</v>
      </c>
      <c r="G16" s="262"/>
    </row>
    <row r="17">
      <c r="A17" s="247" t="s">
        <v>94</v>
      </c>
      <c r="B17" s="263">
        <v>720</v>
      </c>
      <c r="D17" s="100" t="s">
        <v>95</v>
      </c>
      <c r="E17" s="100"/>
      <c r="F17" s="100">
        <v>5</v>
      </c>
      <c r="G17" s="248"/>
      <c r="L17" s="109"/>
      <c r="M17" s="142"/>
    </row>
    <row r="18" ht="15" customHeight="1">
      <c r="A18" s="264" t="s">
        <v>96</v>
      </c>
      <c r="B18" s="265">
        <v>0</v>
      </c>
      <c r="D18" s="100" t="s">
        <v>98</v>
      </c>
      <c r="E18" s="100"/>
      <c r="F18" s="100">
        <f>F17*12*B16</f>
        <v>43200</v>
      </c>
      <c r="G18" s="248"/>
      <c r="H18" s="144"/>
      <c r="I18" s="144"/>
      <c r="J18" s="144"/>
      <c r="L18" s="145"/>
    </row>
    <row r="19" ht="23.850000000000001" customHeight="1">
      <c r="A19" s="264" t="s">
        <v>99</v>
      </c>
      <c r="B19" s="263"/>
      <c r="D19" s="127" t="s">
        <v>163</v>
      </c>
      <c r="E19" s="127"/>
      <c r="F19" s="146">
        <f>SELIC+2%</f>
        <v>0.1525</v>
      </c>
      <c r="G19" s="266"/>
      <c r="H19" s="148"/>
      <c r="I19" s="148"/>
      <c r="J19" s="148"/>
      <c r="K19" s="99" t="s">
        <v>102</v>
      </c>
      <c r="L19" s="145" t="s">
        <v>103</v>
      </c>
    </row>
    <row r="20">
      <c r="A20" s="264"/>
      <c r="B20" s="267"/>
      <c r="D20" s="100" t="s">
        <v>105</v>
      </c>
      <c r="E20" s="100"/>
      <c r="F20" s="150">
        <v>0.34999999999999998</v>
      </c>
      <c r="G20" s="248"/>
      <c r="H20" s="151"/>
      <c r="I20" s="151"/>
      <c r="J20" s="151"/>
      <c r="K20" s="99">
        <f>1400/10000</f>
        <v>0.14000000000000001</v>
      </c>
      <c r="L20" s="114">
        <f>K20*B19</f>
        <v>0</v>
      </c>
    </row>
    <row r="21" ht="23.850000000000001" customHeight="1">
      <c r="A21" s="247"/>
      <c r="B21" s="100"/>
      <c r="D21" s="127" t="s">
        <v>106</v>
      </c>
      <c r="E21" s="127"/>
      <c r="F21" s="152">
        <v>30000</v>
      </c>
      <c r="G21" s="248"/>
      <c r="H21" s="109"/>
      <c r="I21" s="109"/>
      <c r="J21" s="109"/>
      <c r="K21" s="153" t="s">
        <v>107</v>
      </c>
      <c r="L21" s="268" t="s">
        <v>108</v>
      </c>
      <c r="M21" s="100" t="s">
        <v>109</v>
      </c>
    </row>
    <row r="22" ht="15" customHeight="1">
      <c r="A22" s="247"/>
      <c r="D22" s="100"/>
      <c r="F22" s="155"/>
      <c r="G22" s="248"/>
      <c r="H22" s="109"/>
      <c r="I22" s="109"/>
      <c r="J22" s="109"/>
      <c r="K22" s="156">
        <f>G25*B16*12</f>
        <v>0</v>
      </c>
      <c r="L22" s="157">
        <f>(((1-F20)+1)/2)*E13</f>
        <v>0</v>
      </c>
      <c r="M22" s="158">
        <f>L22*F19</f>
        <v>0</v>
      </c>
    </row>
    <row r="23" ht="15" customHeight="1">
      <c r="A23" s="159" t="s">
        <v>110</v>
      </c>
      <c r="B23" s="160"/>
      <c r="C23" s="161"/>
      <c r="D23" s="161"/>
      <c r="E23" s="162"/>
      <c r="F23" s="160"/>
      <c r="G23" s="163"/>
      <c r="K23" s="164"/>
      <c r="L23" s="165"/>
      <c r="M23" s="166"/>
    </row>
    <row r="24" ht="14.25" customHeight="1">
      <c r="A24" s="168" t="s">
        <v>164</v>
      </c>
      <c r="B24" s="168"/>
      <c r="C24" s="168"/>
      <c r="D24" s="169" t="s">
        <v>112</v>
      </c>
      <c r="E24" s="169" t="s">
        <v>113</v>
      </c>
      <c r="F24" s="169" t="s">
        <v>114</v>
      </c>
      <c r="G24" s="169" t="s">
        <v>115</v>
      </c>
      <c r="H24" s="109"/>
      <c r="I24" s="109"/>
      <c r="J24" s="269"/>
      <c r="K24" s="109"/>
      <c r="L24" s="165"/>
      <c r="M24" s="166"/>
    </row>
    <row r="25" ht="14.25" customHeight="1">
      <c r="A25" s="169" t="s">
        <v>121</v>
      </c>
      <c r="B25" s="172" t="s">
        <v>122</v>
      </c>
      <c r="C25" s="172"/>
      <c r="D25" s="182" t="s">
        <v>123</v>
      </c>
      <c r="E25" s="270">
        <f>IFERROR(((((F20*E13)*(F17+1)/(2*F17))+((1-F20)*E13))*F19/(F18/F17))/F25,0)</f>
        <v>0</v>
      </c>
      <c r="F25" s="271">
        <f>IF(B6="LOCADO",0,E13)</f>
        <v>0</v>
      </c>
      <c r="G25" s="271">
        <f t="shared" ref="G25:G26" si="9">F25*E25</f>
        <v>0</v>
      </c>
      <c r="H25" s="109">
        <f>G25*720</f>
        <v>0</v>
      </c>
      <c r="I25" s="109">
        <f>H25*60</f>
        <v>0</v>
      </c>
      <c r="J25" s="269" t="e">
        <f>I25/E13</f>
        <v>#DIV/0!</v>
      </c>
      <c r="L25" s="109"/>
    </row>
    <row r="26" ht="14.25" customHeight="1">
      <c r="A26" s="169" t="s">
        <v>121</v>
      </c>
      <c r="B26" s="172" t="s">
        <v>125</v>
      </c>
      <c r="C26" s="172"/>
      <c r="D26" s="182" t="s">
        <v>117</v>
      </c>
      <c r="E26" s="270">
        <f>IF(B6="LOCADO",B16/(B16*720),0)</f>
        <v>0</v>
      </c>
      <c r="F26" s="271">
        <f>E14</f>
        <v>0</v>
      </c>
      <c r="G26" s="271">
        <f t="shared" si="9"/>
        <v>0</v>
      </c>
      <c r="H26" s="184"/>
      <c r="I26" s="184"/>
      <c r="J26" s="184"/>
    </row>
    <row r="27" ht="15" customHeight="1">
      <c r="A27" s="186" t="s">
        <v>126</v>
      </c>
      <c r="B27" s="186"/>
      <c r="C27" s="186"/>
      <c r="D27" s="187"/>
      <c r="E27" s="188"/>
      <c r="F27" s="189"/>
      <c r="G27" s="272">
        <f>ROUND(SUM(G25:G26),2)</f>
        <v>0</v>
      </c>
      <c r="H27" s="151"/>
      <c r="I27" s="151"/>
      <c r="J27" s="151"/>
      <c r="M27" s="191" t="s">
        <v>127</v>
      </c>
      <c r="N27" s="192">
        <v>0.25</v>
      </c>
    </row>
    <row r="28" ht="15" customHeight="1">
      <c r="A28" s="273"/>
      <c r="B28" s="194"/>
      <c r="C28" s="195"/>
      <c r="D28" s="196"/>
      <c r="E28" s="197"/>
      <c r="F28" s="198"/>
      <c r="G28" s="274"/>
    </row>
    <row r="29" ht="14.25" customHeight="1">
      <c r="A29" s="200" t="s">
        <v>128</v>
      </c>
      <c r="B29" s="161"/>
      <c r="C29" s="161"/>
      <c r="D29" s="161"/>
      <c r="E29" s="201"/>
      <c r="F29" s="161"/>
      <c r="G29" s="202"/>
      <c r="K29" s="124" t="s">
        <v>129</v>
      </c>
      <c r="L29" s="124"/>
      <c r="M29" s="124"/>
      <c r="N29" s="118" t="s">
        <v>165</v>
      </c>
    </row>
    <row r="30" ht="14.25" customHeight="1">
      <c r="A30" s="168" t="s">
        <v>166</v>
      </c>
      <c r="B30" s="168"/>
      <c r="C30" s="168"/>
      <c r="D30" s="203" t="s">
        <v>112</v>
      </c>
      <c r="E30" s="203" t="s">
        <v>113</v>
      </c>
      <c r="F30" s="203" t="s">
        <v>114</v>
      </c>
      <c r="G30" s="203" t="s">
        <v>115</v>
      </c>
      <c r="K30" s="205" t="s">
        <v>131</v>
      </c>
      <c r="L30" s="100" t="s">
        <v>132</v>
      </c>
      <c r="M30" s="100" t="s">
        <v>133</v>
      </c>
      <c r="N30" s="118"/>
    </row>
    <row r="31">
      <c r="A31" s="169" t="s">
        <v>116</v>
      </c>
      <c r="B31" s="172" t="str">
        <f>"DEPRECIAÇÃO CHASSI ("&amp;ROUND(F20,2)*100&amp;"% preço aquisição em 5 anos)"</f>
        <v xml:space="preserve">DEPRECIAÇÃO CHASSI (35% preço aquisição em 5 anos)</v>
      </c>
      <c r="C31" s="172"/>
      <c r="D31" s="182" t="s">
        <v>117</v>
      </c>
      <c r="E31" s="181">
        <f>IF(B6="LOCADO",0,(F20/(B17*60))*(B17/720))</f>
        <v>8.101851851851852e-006</v>
      </c>
      <c r="F31" s="174">
        <f>IF(B6="LOCADO",0,E13)</f>
        <v>0</v>
      </c>
      <c r="G31" s="174">
        <f t="shared" ref="G31:G34" si="10">F31*E31</f>
        <v>0</v>
      </c>
      <c r="H31" s="109">
        <f t="shared" ref="H31:H32" si="11">G31*720</f>
        <v>0</v>
      </c>
      <c r="I31" s="109">
        <f t="shared" ref="I31:I32" si="12">H31*60</f>
        <v>0</v>
      </c>
      <c r="J31" s="269" t="e">
        <f>I31/E13</f>
        <v>#DIV/0!</v>
      </c>
      <c r="K31" s="99" t="s">
        <v>134</v>
      </c>
      <c r="L31" s="158" t="e">
        <f>ROUND(E39*#REF!,2)</f>
        <v>#REF!</v>
      </c>
      <c r="M31" s="158" t="e">
        <f t="shared" ref="M31:M33" si="13">L31*(1+$N$27)</f>
        <v>#REF!</v>
      </c>
      <c r="N31" s="115" t="e">
        <f t="shared" ref="N31:N43" si="14">L31*60</f>
        <v>#REF!</v>
      </c>
    </row>
    <row r="32">
      <c r="A32" s="169" t="s">
        <v>116</v>
      </c>
      <c r="B32" s="178" t="s">
        <v>124</v>
      </c>
      <c r="C32" s="178"/>
      <c r="D32" s="182" t="s">
        <v>117</v>
      </c>
      <c r="E32" s="181">
        <f>IFERROR(((0.01+0.04)/12+(112.4/(F32*12)))/B17,0)</f>
        <v>0</v>
      </c>
      <c r="F32" s="174">
        <f>IF(B6="LOCADO",0,E13)</f>
        <v>0</v>
      </c>
      <c r="G32" s="174">
        <f t="shared" si="10"/>
        <v>0</v>
      </c>
      <c r="H32" s="109">
        <f t="shared" si="11"/>
        <v>0</v>
      </c>
      <c r="I32" s="109">
        <f t="shared" si="12"/>
        <v>0</v>
      </c>
      <c r="J32" s="275" t="e">
        <f>I32/E13</f>
        <v>#DIV/0!</v>
      </c>
      <c r="K32" s="99" t="s">
        <v>135</v>
      </c>
      <c r="L32" s="158" t="e">
        <f>ROUND(E39*#REF!,2)</f>
        <v>#REF!</v>
      </c>
      <c r="M32" s="158" t="e">
        <f t="shared" si="13"/>
        <v>#REF!</v>
      </c>
      <c r="N32" s="115" t="e">
        <f t="shared" si="14"/>
        <v>#REF!</v>
      </c>
    </row>
    <row r="33" ht="14.25" customHeight="1">
      <c r="A33" s="169" t="s">
        <v>121</v>
      </c>
      <c r="B33" s="172" t="s">
        <v>125</v>
      </c>
      <c r="C33" s="172"/>
      <c r="D33" s="182" t="s">
        <v>117</v>
      </c>
      <c r="E33" s="181">
        <f>IF(B6="LOCADO",B17/(B17*720),0)</f>
        <v>0</v>
      </c>
      <c r="F33" s="174">
        <f>F26</f>
        <v>0</v>
      </c>
      <c r="G33" s="174">
        <f t="shared" si="10"/>
        <v>0</v>
      </c>
      <c r="H33" s="109"/>
      <c r="I33" s="109"/>
      <c r="J33" s="109"/>
      <c r="K33" s="99" t="s">
        <v>136</v>
      </c>
      <c r="L33" s="158" t="e">
        <f>ROUND(E39*#REF!,2)</f>
        <v>#REF!</v>
      </c>
      <c r="M33" s="158" t="e">
        <f t="shared" si="13"/>
        <v>#REF!</v>
      </c>
      <c r="N33" s="115" t="e">
        <f t="shared" si="14"/>
        <v>#REF!</v>
      </c>
    </row>
    <row r="34" ht="14.25" customHeight="1">
      <c r="A34" s="169" t="s">
        <v>121</v>
      </c>
      <c r="B34" s="172" t="s">
        <v>167</v>
      </c>
      <c r="C34" s="172"/>
      <c r="D34" s="182" t="s">
        <v>117</v>
      </c>
      <c r="E34" s="181">
        <f>2/B17</f>
        <v>2.7777777777777779e-003</v>
      </c>
      <c r="F34" s="174">
        <v>300</v>
      </c>
      <c r="G34" s="174">
        <f t="shared" si="10"/>
        <v>0.83333333333333337</v>
      </c>
      <c r="H34" s="109"/>
      <c r="I34" s="109"/>
      <c r="J34" s="109"/>
      <c r="L34" s="206" t="e">
        <f>SUM(L31:L33)</f>
        <v>#REF!</v>
      </c>
      <c r="M34" s="207" t="e">
        <f>SUM(M31:M33)</f>
        <v>#REF!</v>
      </c>
      <c r="N34" s="208" t="e">
        <f t="shared" si="14"/>
        <v>#REF!</v>
      </c>
    </row>
    <row r="35" ht="14.25" customHeight="1">
      <c r="A35" s="203" t="s">
        <v>138</v>
      </c>
      <c r="B35" s="203"/>
      <c r="C35" s="203"/>
      <c r="D35" s="210"/>
      <c r="E35" s="203"/>
      <c r="F35" s="210"/>
      <c r="G35" s="276">
        <f>ROUND(SUM(G31:G34),2)</f>
        <v>0.82999999999999996</v>
      </c>
      <c r="K35" s="205" t="s">
        <v>139</v>
      </c>
      <c r="L35" s="100" t="s">
        <v>132</v>
      </c>
      <c r="M35" s="100" t="s">
        <v>133</v>
      </c>
      <c r="N35" s="115"/>
    </row>
    <row r="36">
      <c r="A36" s="277"/>
      <c r="B36" s="213"/>
      <c r="C36" s="213"/>
      <c r="D36" s="214"/>
      <c r="E36" s="213"/>
      <c r="F36" s="214"/>
      <c r="G36" s="248"/>
      <c r="K36" s="99" t="s">
        <v>140</v>
      </c>
      <c r="L36" s="215" t="e">
        <f>ROUND(720*#REF!,2)</f>
        <v>#REF!</v>
      </c>
      <c r="M36" s="158" t="e">
        <f t="shared" ref="M36:M40" si="15">L36*(1+$N$27)</f>
        <v>#REF!</v>
      </c>
      <c r="N36" s="115" t="e">
        <f t="shared" si="14"/>
        <v>#REF!</v>
      </c>
    </row>
    <row r="37">
      <c r="A37" s="200" t="s">
        <v>168</v>
      </c>
      <c r="B37" s="161"/>
      <c r="C37" s="161"/>
      <c r="D37" s="161"/>
      <c r="E37" s="201"/>
      <c r="F37" s="161"/>
      <c r="G37" s="216"/>
      <c r="K37" s="217" t="s">
        <v>142</v>
      </c>
      <c r="L37" s="215">
        <f>ROUND(G25*B16,2)</f>
        <v>0</v>
      </c>
      <c r="M37" s="158">
        <f t="shared" si="15"/>
        <v>0</v>
      </c>
      <c r="N37" s="115">
        <f t="shared" si="14"/>
        <v>0</v>
      </c>
    </row>
    <row r="38">
      <c r="A38" s="219" t="s">
        <v>143</v>
      </c>
      <c r="B38" s="219"/>
      <c r="C38" s="219"/>
      <c r="D38" s="219" t="s">
        <v>144</v>
      </c>
      <c r="E38" s="219" t="s">
        <v>113</v>
      </c>
      <c r="F38" s="219" t="s">
        <v>114</v>
      </c>
      <c r="G38" s="219" t="s">
        <v>115</v>
      </c>
      <c r="K38" s="217" t="s">
        <v>145</v>
      </c>
      <c r="L38" s="215" t="e">
        <f>ROUND(#REF!*B16,2)</f>
        <v>#REF!</v>
      </c>
      <c r="M38" s="158" t="e">
        <f t="shared" si="15"/>
        <v>#REF!</v>
      </c>
      <c r="N38" s="115" t="e">
        <f t="shared" si="14"/>
        <v>#REF!</v>
      </c>
    </row>
    <row r="39">
      <c r="A39" s="222" t="s">
        <v>146</v>
      </c>
      <c r="B39" s="222"/>
      <c r="C39" s="222"/>
      <c r="D39" s="223" t="s">
        <v>147</v>
      </c>
      <c r="E39" s="223">
        <f t="shared" ref="E39:E40" si="16">B16</f>
        <v>720</v>
      </c>
      <c r="F39" s="224">
        <f>G27</f>
        <v>0</v>
      </c>
      <c r="G39" s="278">
        <f t="shared" ref="G39:G40" si="17">ROUND(F39*E39,2)</f>
        <v>0</v>
      </c>
      <c r="H39" s="109"/>
      <c r="I39" s="109"/>
      <c r="J39" s="109"/>
      <c r="K39" s="99" t="s">
        <v>148</v>
      </c>
      <c r="L39" s="215" t="e">
        <f>ROUND(720*#REF!,2)</f>
        <v>#REF!</v>
      </c>
      <c r="M39" s="158" t="e">
        <f t="shared" si="15"/>
        <v>#REF!</v>
      </c>
      <c r="N39" s="115" t="e">
        <f t="shared" si="14"/>
        <v>#REF!</v>
      </c>
    </row>
    <row r="40">
      <c r="A40" s="222" t="s">
        <v>149</v>
      </c>
      <c r="B40" s="222"/>
      <c r="C40" s="222"/>
      <c r="D40" s="223" t="s">
        <v>147</v>
      </c>
      <c r="E40" s="223">
        <f t="shared" si="16"/>
        <v>720</v>
      </c>
      <c r="F40" s="224">
        <f>G35</f>
        <v>0.82999999999999996</v>
      </c>
      <c r="G40" s="278">
        <f t="shared" si="17"/>
        <v>597.60000000000002</v>
      </c>
      <c r="H40" s="109"/>
      <c r="I40" s="109"/>
      <c r="J40" s="109"/>
      <c r="K40" s="99" t="s">
        <v>150</v>
      </c>
      <c r="L40" s="109">
        <f>IF(B6="LOCADO",E14,0)</f>
        <v>0</v>
      </c>
      <c r="M40" s="158">
        <f t="shared" si="15"/>
        <v>0</v>
      </c>
      <c r="N40" s="115">
        <f t="shared" si="14"/>
        <v>0</v>
      </c>
    </row>
    <row r="41">
      <c r="A41" s="279"/>
      <c r="B41" s="129"/>
      <c r="C41" s="129"/>
      <c r="D41" s="226"/>
      <c r="E41" s="227" t="s">
        <v>151</v>
      </c>
      <c r="F41" s="227"/>
      <c r="G41" s="280">
        <f>SUM(G39:G40)</f>
        <v>597.60000000000002</v>
      </c>
      <c r="L41" s="206" t="e">
        <f>SUM(L36:L40)</f>
        <v>#REF!</v>
      </c>
      <c r="M41" s="207" t="e">
        <f>SUM(M36:M40)</f>
        <v>#REF!</v>
      </c>
      <c r="N41" s="208" t="e">
        <f t="shared" si="14"/>
        <v>#REF!</v>
      </c>
    </row>
    <row r="42">
      <c r="A42" s="279"/>
      <c r="B42" s="129"/>
      <c r="C42" s="129"/>
      <c r="D42" s="226"/>
      <c r="E42" s="226"/>
      <c r="F42" s="229"/>
      <c r="G42" s="281"/>
      <c r="L42" s="148"/>
      <c r="N42" s="115">
        <f t="shared" si="14"/>
        <v>0</v>
      </c>
    </row>
    <row r="43">
      <c r="A43" s="200" t="s">
        <v>169</v>
      </c>
      <c r="B43" s="231"/>
      <c r="C43" s="231"/>
      <c r="D43" s="232"/>
      <c r="E43" s="232"/>
      <c r="F43" s="233"/>
      <c r="G43" s="234"/>
      <c r="K43" s="124" t="s">
        <v>115</v>
      </c>
      <c r="L43" s="206" t="e">
        <f>L34+L41</f>
        <v>#REF!</v>
      </c>
      <c r="M43" s="206" t="e">
        <f>M34+M41</f>
        <v>#REF!</v>
      </c>
      <c r="N43" s="208" t="e">
        <f t="shared" si="14"/>
        <v>#REF!</v>
      </c>
    </row>
    <row r="44">
      <c r="A44" s="219" t="s">
        <v>143</v>
      </c>
      <c r="B44" s="219"/>
      <c r="C44" s="219"/>
      <c r="D44" s="219" t="s">
        <v>144</v>
      </c>
      <c r="E44" s="219" t="s">
        <v>113</v>
      </c>
      <c r="F44" s="219" t="s">
        <v>114</v>
      </c>
      <c r="G44" s="219" t="s">
        <v>115</v>
      </c>
      <c r="K44" s="235"/>
      <c r="L44" s="235"/>
      <c r="M44" s="235"/>
    </row>
    <row r="45">
      <c r="A45" s="222" t="s">
        <v>153</v>
      </c>
      <c r="B45" s="222"/>
      <c r="C45" s="222"/>
      <c r="D45" s="223" t="s">
        <v>147</v>
      </c>
      <c r="E45" s="223">
        <v>1</v>
      </c>
      <c r="F45" s="224">
        <f t="shared" ref="F45:F46" si="18">G39</f>
        <v>0</v>
      </c>
      <c r="G45" s="278">
        <f t="shared" ref="G45:G46" si="19">ROUND(F45*E45,2)</f>
        <v>0</v>
      </c>
      <c r="K45" s="235"/>
      <c r="L45" s="235"/>
      <c r="M45" s="235"/>
    </row>
    <row r="46">
      <c r="A46" s="222" t="s">
        <v>154</v>
      </c>
      <c r="B46" s="222"/>
      <c r="C46" s="222"/>
      <c r="D46" s="223" t="s">
        <v>147</v>
      </c>
      <c r="E46" s="223">
        <v>1</v>
      </c>
      <c r="F46" s="224">
        <f t="shared" si="18"/>
        <v>597.60000000000002</v>
      </c>
      <c r="G46" s="278">
        <f t="shared" si="19"/>
        <v>597.60000000000002</v>
      </c>
      <c r="K46" s="235"/>
      <c r="L46" s="235"/>
      <c r="M46" s="235"/>
    </row>
    <row r="47">
      <c r="A47" s="282"/>
      <c r="B47" s="283"/>
      <c r="C47" s="283"/>
      <c r="D47" s="284"/>
      <c r="E47" s="227" t="s">
        <v>155</v>
      </c>
      <c r="F47" s="227"/>
      <c r="G47" s="280">
        <f>SUM(G45:G46)</f>
        <v>597.60000000000002</v>
      </c>
      <c r="K47" s="235"/>
      <c r="L47" s="235"/>
      <c r="M47" s="235"/>
    </row>
    <row r="48">
      <c r="A48" s="235"/>
      <c r="B48" s="235"/>
      <c r="C48" s="235"/>
      <c r="F48" s="151"/>
      <c r="G48" s="157"/>
    </row>
    <row r="49">
      <c r="A49" s="235"/>
      <c r="B49" s="235"/>
      <c r="C49" s="235"/>
      <c r="G49" s="241"/>
    </row>
    <row r="50">
      <c r="A50" s="235"/>
      <c r="B50" s="235"/>
      <c r="C50" s="235"/>
      <c r="G50" s="241"/>
    </row>
    <row r="51">
      <c r="A51" s="235"/>
      <c r="B51" s="235"/>
      <c r="C51" s="235"/>
      <c r="G51" s="100"/>
    </row>
    <row r="52">
      <c r="A52" s="235"/>
      <c r="B52" s="235"/>
      <c r="C52" s="235"/>
      <c r="G52" s="100"/>
    </row>
    <row r="53">
      <c r="G53" s="100"/>
    </row>
    <row r="54">
      <c r="G54" s="100"/>
    </row>
  </sheetData>
  <mergeCells count="36">
    <mergeCell ref="A1:G1"/>
    <mergeCell ref="A4:G4"/>
    <mergeCell ref="A8:F8"/>
    <mergeCell ref="D9:E9"/>
    <mergeCell ref="D10:E10"/>
    <mergeCell ref="D11:E11"/>
    <mergeCell ref="A13:D13"/>
    <mergeCell ref="E13:F13"/>
    <mergeCell ref="A14:D14"/>
    <mergeCell ref="E14:F14"/>
    <mergeCell ref="D16:E16"/>
    <mergeCell ref="D17:E17"/>
    <mergeCell ref="D18:E18"/>
    <mergeCell ref="D19:E19"/>
    <mergeCell ref="D20:E20"/>
    <mergeCell ref="D21:E21"/>
    <mergeCell ref="A24:C24"/>
    <mergeCell ref="B25:C25"/>
    <mergeCell ref="B26:C26"/>
    <mergeCell ref="A27:C27"/>
    <mergeCell ref="K29:M29"/>
    <mergeCell ref="N29:N30"/>
    <mergeCell ref="A30:C30"/>
    <mergeCell ref="B31:C31"/>
    <mergeCell ref="B32:C32"/>
    <mergeCell ref="B33:C33"/>
    <mergeCell ref="B34:C34"/>
    <mergeCell ref="A35:C35"/>
    <mergeCell ref="A38:C38"/>
    <mergeCell ref="A39:C39"/>
    <mergeCell ref="E47:F47"/>
    <mergeCell ref="A40:C40"/>
    <mergeCell ref="E41:F41"/>
    <mergeCell ref="A44:C44"/>
    <mergeCell ref="A45:C45"/>
    <mergeCell ref="A46:C46"/>
  </mergeCells>
  <printOptions headings="0" gridLines="0" horizontalCentered="1"/>
  <pageMargins left="0.59027777777777801" right="0.59027777777777801" top="1.1812499999999999" bottom="0.78750000000000009" header="0.3152777777777779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&amp;RPágina&amp;P - &amp;A</oddHeader>
  </headerFooter>
  <legacyDrawing r:id="rId3"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9A00B6-00DC-4C56-A2BB-00650079007E}" type="list" allowBlank="1" errorStyle="stop" imeMode="noControl" operator="between" showDropDown="0" showErrorMessage="1" showInputMessage="1">
          <x14:formula1>
            <xm:f>"LOCADO,PRÓPRIO"</xm:f>
          </x14:formula1>
          <x14:formula2>
            <xm:f>0</xm:f>
          </x14:formula2>
          <xm:sqref>B6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47D45A"/>
    <outlinePr applyStyles="0" summaryBelow="1" summaryRight="1" showOutlineSymbols="1"/>
    <pageSetUpPr autoPageBreaks="1" fitToPage="1"/>
  </sheetPr>
  <sheetViews>
    <sheetView showGridLines="0" topLeftCell="A82" zoomScale="100" workbookViewId="0">
      <selection activeCell="J94" activeCellId="0" sqref="J94"/>
    </sheetView>
  </sheetViews>
  <sheetFormatPr defaultColWidth="9.125" defaultRowHeight="14.25"/>
  <cols>
    <col customWidth="1" min="1" max="1" style="58" width="45.875"/>
    <col customWidth="1" min="2" max="2" style="58" width="11.125"/>
    <col customWidth="1" min="3" max="3" style="58" width="12.25"/>
    <col customWidth="1" min="4" max="4" style="58" width="4.125"/>
    <col customWidth="1" min="5" max="5" style="58" width="14.125"/>
    <col customWidth="1" min="6" max="6" style="58" width="4.5"/>
    <col customWidth="1" min="7" max="7" style="58" width="16.5"/>
    <col min="8" max="10" style="58" width="9.125"/>
    <col customWidth="1" min="11" max="11" style="58" width="12.125"/>
    <col customWidth="1" min="12" max="12" style="58" width="14"/>
    <col min="13" max="16384" style="58" width="9.125"/>
  </cols>
  <sheetData>
    <row r="1" ht="18.75" customHeight="1">
      <c r="A1" s="285" t="s">
        <v>170</v>
      </c>
      <c r="B1" s="286"/>
      <c r="C1" s="286"/>
      <c r="D1" s="286"/>
      <c r="E1" s="286"/>
      <c r="F1" s="286"/>
      <c r="G1" s="287"/>
    </row>
    <row r="2" ht="5.25" customHeight="1">
      <c r="A2" s="288"/>
      <c r="B2" s="289"/>
      <c r="C2" s="290"/>
      <c r="D2" s="289"/>
      <c r="E2" s="290"/>
      <c r="F2" s="289"/>
      <c r="G2" s="291"/>
      <c r="H2" s="289"/>
      <c r="I2" s="292"/>
    </row>
    <row r="3" ht="15" customHeight="1">
      <c r="A3" s="293" t="s">
        <v>171</v>
      </c>
      <c r="B3" s="294"/>
      <c r="C3" s="294"/>
      <c r="D3" s="294"/>
      <c r="E3" s="294"/>
      <c r="F3" s="294"/>
      <c r="G3" s="295"/>
    </row>
    <row r="4" s="296" customFormat="1" ht="12.75" customHeight="1">
      <c r="A4" s="297" t="s">
        <v>172</v>
      </c>
      <c r="B4" s="298"/>
      <c r="C4" s="299">
        <v>1</v>
      </c>
      <c r="D4" s="298" t="s">
        <v>173</v>
      </c>
      <c r="E4" s="300">
        <v>1518</v>
      </c>
      <c r="F4" s="298" t="s">
        <v>174</v>
      </c>
      <c r="G4" s="301">
        <f t="shared" ref="G4:G9" si="20">ROUND(C4*E4,2)</f>
        <v>1518</v>
      </c>
      <c r="H4" s="302"/>
    </row>
    <row r="5" s="296" customFormat="1" ht="12.75" customHeight="1">
      <c r="A5" s="297" t="s">
        <v>175</v>
      </c>
      <c r="B5" s="298"/>
      <c r="C5" s="303">
        <v>0.40000000000000002</v>
      </c>
      <c r="D5" s="298" t="s">
        <v>173</v>
      </c>
      <c r="E5" s="300">
        <v>1412</v>
      </c>
      <c r="F5" s="298" t="s">
        <v>174</v>
      </c>
      <c r="G5" s="301">
        <f t="shared" si="20"/>
        <v>564.79999999999995</v>
      </c>
      <c r="H5" s="298"/>
    </row>
    <row r="6" s="296" customFormat="1" ht="12.75" customHeight="1">
      <c r="A6" s="297" t="s">
        <v>176</v>
      </c>
      <c r="B6" s="298"/>
      <c r="C6" s="304">
        <v>10</v>
      </c>
      <c r="D6" s="298" t="s">
        <v>173</v>
      </c>
      <c r="E6" s="300">
        <f>ROUND((SUM(G4:G5)/220)*1.5,2)</f>
        <v>14.199999999999999</v>
      </c>
      <c r="F6" s="298" t="s">
        <v>174</v>
      </c>
      <c r="G6" s="301">
        <f t="shared" si="20"/>
        <v>142</v>
      </c>
      <c r="H6" s="305"/>
    </row>
    <row r="7" s="296" customFormat="1" ht="12.75" customHeight="1">
      <c r="A7" s="297" t="s">
        <v>177</v>
      </c>
      <c r="B7" s="298"/>
      <c r="C7" s="304">
        <v>0</v>
      </c>
      <c r="D7" s="298" t="s">
        <v>173</v>
      </c>
      <c r="E7" s="300">
        <f>ROUND((SUM(G4:G5)/220)*2,2)</f>
        <v>18.93</v>
      </c>
      <c r="F7" s="298" t="s">
        <v>174</v>
      </c>
      <c r="G7" s="301">
        <f t="shared" si="20"/>
        <v>0</v>
      </c>
      <c r="H7" s="298"/>
    </row>
    <row r="8" s="296" customFormat="1" ht="12.75" customHeight="1">
      <c r="A8" s="297" t="s">
        <v>178</v>
      </c>
      <c r="B8" s="298"/>
      <c r="C8" s="304">
        <v>0</v>
      </c>
      <c r="D8" s="298" t="s">
        <v>173</v>
      </c>
      <c r="E8" s="300">
        <f>(SUM(G4:G5)/220)*0.2</f>
        <v>1.8934545454545457</v>
      </c>
      <c r="F8" s="298" t="s">
        <v>174</v>
      </c>
      <c r="G8" s="301">
        <f t="shared" si="20"/>
        <v>0</v>
      </c>
      <c r="H8" s="298"/>
      <c r="L8" s="306"/>
    </row>
    <row r="9" s="296" customFormat="1" ht="12.75" customHeight="1">
      <c r="A9" s="297" t="s">
        <v>179</v>
      </c>
      <c r="B9" s="298"/>
      <c r="C9" s="307">
        <f>encargos</f>
        <v>0.77580000000000005</v>
      </c>
      <c r="D9" s="298" t="s">
        <v>173</v>
      </c>
      <c r="E9" s="308">
        <f>SUM(G4:G8)</f>
        <v>2224.8000000000002</v>
      </c>
      <c r="F9" s="298" t="s">
        <v>174</v>
      </c>
      <c r="G9" s="301">
        <f t="shared" si="20"/>
        <v>1726</v>
      </c>
      <c r="H9" s="298"/>
    </row>
    <row r="10" s="296" customFormat="1" ht="12.75" customHeight="1">
      <c r="A10" s="309" t="s">
        <v>180</v>
      </c>
      <c r="B10" s="298"/>
      <c r="C10" s="307"/>
      <c r="D10" s="298"/>
      <c r="E10" s="308"/>
      <c r="F10" s="298"/>
      <c r="G10" s="310">
        <f>SUM(G4:G9)</f>
        <v>3950.8000000000002</v>
      </c>
      <c r="H10" s="298"/>
    </row>
    <row r="11" s="296" customFormat="1" ht="12.75" customHeight="1">
      <c r="A11" s="297" t="s">
        <v>181</v>
      </c>
      <c r="B11" s="298"/>
      <c r="C11" s="311">
        <f>dias_mes</f>
        <v>21.416666666666668</v>
      </c>
      <c r="D11" s="298" t="s">
        <v>173</v>
      </c>
      <c r="E11" s="308">
        <v>0</v>
      </c>
      <c r="F11" s="298" t="s">
        <v>174</v>
      </c>
      <c r="G11" s="301">
        <f>ROUND(C11*E11,2)</f>
        <v>0</v>
      </c>
      <c r="H11" s="298"/>
    </row>
    <row r="12" s="296" customFormat="1" ht="12.75" customHeight="1">
      <c r="A12" s="312" t="s">
        <v>182</v>
      </c>
      <c r="B12" s="313"/>
      <c r="C12" s="299">
        <v>1</v>
      </c>
      <c r="D12" s="298" t="s">
        <v>173</v>
      </c>
      <c r="E12" s="308">
        <v>0</v>
      </c>
      <c r="F12" s="298" t="s">
        <v>174</v>
      </c>
      <c r="G12" s="301">
        <f>E12*C12</f>
        <v>0</v>
      </c>
      <c r="H12" s="314"/>
    </row>
    <row r="13" s="296" customFormat="1" ht="12.75" customHeight="1">
      <c r="A13" s="297" t="s">
        <v>183</v>
      </c>
      <c r="B13" s="298"/>
      <c r="C13" s="315">
        <f t="shared" ref="C13:C14" si="21">1/12</f>
        <v>8.3333333333333329e-002</v>
      </c>
      <c r="D13" s="298" t="s">
        <v>173</v>
      </c>
      <c r="E13" s="308">
        <v>0</v>
      </c>
      <c r="F13" s="298" t="s">
        <v>174</v>
      </c>
      <c r="G13" s="301">
        <f t="shared" ref="G13:G18" si="22">ROUND(C13*E13,2)</f>
        <v>0</v>
      </c>
      <c r="H13" s="298"/>
    </row>
    <row r="14" s="296" customFormat="1" ht="12.75" customHeight="1">
      <c r="A14" s="312" t="s">
        <v>184</v>
      </c>
      <c r="B14" s="313"/>
      <c r="C14" s="315">
        <f t="shared" si="21"/>
        <v>8.3333333333333329e-002</v>
      </c>
      <c r="D14" s="298" t="s">
        <v>173</v>
      </c>
      <c r="E14" s="308">
        <v>0</v>
      </c>
      <c r="F14" s="298" t="s">
        <v>174</v>
      </c>
      <c r="G14" s="301">
        <f t="shared" si="22"/>
        <v>0</v>
      </c>
      <c r="H14" s="314"/>
    </row>
    <row r="15" s="296" customFormat="1" ht="12.75" customHeight="1">
      <c r="A15" s="297" t="s">
        <v>185</v>
      </c>
      <c r="B15" s="298"/>
      <c r="C15" s="316">
        <v>1</v>
      </c>
      <c r="D15" s="298" t="s">
        <v>173</v>
      </c>
      <c r="E15" s="317">
        <v>0</v>
      </c>
      <c r="F15" s="298" t="s">
        <v>174</v>
      </c>
      <c r="G15" s="301">
        <f t="shared" si="22"/>
        <v>0</v>
      </c>
      <c r="H15" s="314"/>
    </row>
    <row r="16" s="296" customFormat="1" ht="12.75" customHeight="1">
      <c r="A16" s="297" t="s">
        <v>186</v>
      </c>
      <c r="B16" s="298"/>
      <c r="C16" s="316">
        <v>1</v>
      </c>
      <c r="D16" s="298" t="s">
        <v>173</v>
      </c>
      <c r="E16" s="317">
        <v>0</v>
      </c>
      <c r="F16" s="298" t="s">
        <v>174</v>
      </c>
      <c r="G16" s="301">
        <f t="shared" si="22"/>
        <v>0</v>
      </c>
      <c r="H16" s="298"/>
    </row>
    <row r="17" s="296" customFormat="1" ht="12.75" customHeight="1">
      <c r="A17" s="297" t="s">
        <v>187</v>
      </c>
      <c r="B17" s="298"/>
      <c r="C17" s="316">
        <v>1</v>
      </c>
      <c r="D17" s="298" t="s">
        <v>173</v>
      </c>
      <c r="E17" s="317">
        <v>0</v>
      </c>
      <c r="F17" s="298" t="s">
        <v>174</v>
      </c>
      <c r="G17" s="301">
        <f t="shared" si="22"/>
        <v>0</v>
      </c>
      <c r="H17" s="298"/>
    </row>
    <row r="18" s="296" customFormat="1" ht="12.75" customHeight="1">
      <c r="A18" s="297" t="s">
        <v>188</v>
      </c>
      <c r="B18" s="298"/>
      <c r="C18" s="316">
        <v>1</v>
      </c>
      <c r="D18" s="298" t="s">
        <v>173</v>
      </c>
      <c r="E18" s="317">
        <v>0</v>
      </c>
      <c r="F18" s="298" t="s">
        <v>174</v>
      </c>
      <c r="G18" s="301">
        <f t="shared" si="22"/>
        <v>0</v>
      </c>
      <c r="H18" s="298"/>
    </row>
    <row r="19" s="296" customFormat="1" ht="12.75" customHeight="1">
      <c r="A19" s="312" t="s">
        <v>189</v>
      </c>
      <c r="B19" s="313"/>
      <c r="C19" s="318">
        <f>2*dias_mes</f>
        <v>42.833333333333336</v>
      </c>
      <c r="D19" s="298" t="s">
        <v>173</v>
      </c>
      <c r="E19" s="317"/>
      <c r="F19" s="298" t="s">
        <v>174</v>
      </c>
      <c r="G19" s="301">
        <f>IF(E4*0.06&lt;C19*E19,ROUND(C19*E19,2)-0.06*E4,0)</f>
        <v>0</v>
      </c>
      <c r="H19" s="305"/>
    </row>
    <row r="20" s="296" customFormat="1" ht="12.75" customHeight="1">
      <c r="A20" s="319" t="s">
        <v>190</v>
      </c>
      <c r="B20" s="320"/>
      <c r="C20" s="321">
        <f>C4</f>
        <v>1</v>
      </c>
      <c r="D20" s="320" t="s">
        <v>173</v>
      </c>
      <c r="E20" s="322">
        <f>EPI!$H$24</f>
        <v>212.5</v>
      </c>
      <c r="F20" s="320" t="s">
        <v>174</v>
      </c>
      <c r="G20" s="323">
        <f>ROUND(C20*E20,2)</f>
        <v>212.5</v>
      </c>
      <c r="H20" s="298"/>
    </row>
    <row r="21" ht="13.5" customHeight="1">
      <c r="A21" s="324" t="s">
        <v>191</v>
      </c>
      <c r="B21" s="325"/>
      <c r="C21" s="326"/>
      <c r="D21" s="325"/>
      <c r="E21" s="326"/>
      <c r="F21" s="325"/>
      <c r="G21" s="327">
        <f>SUM(G10:G20)</f>
        <v>4163.3000000000002</v>
      </c>
      <c r="H21" s="289"/>
    </row>
    <row r="22" ht="6.75" customHeight="1">
      <c r="A22" s="328"/>
      <c r="G22" s="329"/>
    </row>
    <row r="23" ht="13.5" customHeight="1">
      <c r="A23" s="293" t="s">
        <v>192</v>
      </c>
      <c r="B23" s="294"/>
      <c r="C23" s="294"/>
      <c r="D23" s="294"/>
      <c r="E23" s="294"/>
      <c r="F23" s="294"/>
      <c r="G23" s="295"/>
    </row>
    <row r="24" ht="13.5" customHeight="1">
      <c r="A24" s="330" t="s">
        <v>172</v>
      </c>
      <c r="B24" s="331"/>
      <c r="C24" s="299">
        <v>1</v>
      </c>
      <c r="D24" s="298" t="s">
        <v>173</v>
      </c>
      <c r="E24" s="300">
        <v>1518</v>
      </c>
      <c r="F24" s="331" t="s">
        <v>174</v>
      </c>
      <c r="G24" s="332">
        <f t="shared" ref="G24:G29" si="23">ROUND(C24*E24,2)</f>
        <v>1518</v>
      </c>
      <c r="H24" s="289"/>
    </row>
    <row r="25" ht="13.5" customHeight="1">
      <c r="A25" s="330" t="s">
        <v>175</v>
      </c>
      <c r="B25" s="331"/>
      <c r="C25" s="303">
        <v>0.40000000000000002</v>
      </c>
      <c r="D25" s="298" t="s">
        <v>173</v>
      </c>
      <c r="E25" s="300">
        <v>1412</v>
      </c>
      <c r="F25" s="331" t="s">
        <v>174</v>
      </c>
      <c r="G25" s="332">
        <f t="shared" si="23"/>
        <v>564.79999999999995</v>
      </c>
      <c r="H25" s="331"/>
    </row>
    <row r="26" ht="13.5" customHeight="1">
      <c r="A26" s="330" t="s">
        <v>176</v>
      </c>
      <c r="B26" s="331"/>
      <c r="C26" s="304">
        <v>10</v>
      </c>
      <c r="D26" s="298" t="s">
        <v>173</v>
      </c>
      <c r="E26" s="300">
        <f>ROUND((SUM(G24:G25)/220)*1.5,2)</f>
        <v>14.199999999999999</v>
      </c>
      <c r="F26" s="331" t="s">
        <v>174</v>
      </c>
      <c r="G26" s="332">
        <f t="shared" si="23"/>
        <v>142</v>
      </c>
      <c r="H26" s="292"/>
    </row>
    <row r="27" ht="13.5" customHeight="1">
      <c r="A27" s="330" t="s">
        <v>177</v>
      </c>
      <c r="B27" s="331"/>
      <c r="C27" s="304">
        <v>0</v>
      </c>
      <c r="D27" s="298" t="s">
        <v>173</v>
      </c>
      <c r="E27" s="300">
        <f>ROUND((SUM(G24:G25)/220)*2,2)</f>
        <v>18.93</v>
      </c>
      <c r="F27" s="331" t="s">
        <v>174</v>
      </c>
      <c r="G27" s="332">
        <f t="shared" si="23"/>
        <v>0</v>
      </c>
      <c r="H27" s="331"/>
    </row>
    <row r="28" ht="13.5" customHeight="1">
      <c r="A28" s="330" t="s">
        <v>178</v>
      </c>
      <c r="B28" s="331"/>
      <c r="C28" s="333">
        <f>3*dias_mes</f>
        <v>64.25</v>
      </c>
      <c r="D28" s="298" t="s">
        <v>173</v>
      </c>
      <c r="E28" s="300">
        <f>(SUM(G24:G25)/220)*0.2</f>
        <v>1.8934545454545457</v>
      </c>
      <c r="F28" s="331" t="s">
        <v>174</v>
      </c>
      <c r="G28" s="332">
        <f t="shared" si="23"/>
        <v>121.65000000000001</v>
      </c>
      <c r="H28" s="331"/>
    </row>
    <row r="29" ht="13.5" customHeight="1">
      <c r="A29" s="330" t="s">
        <v>179</v>
      </c>
      <c r="B29" s="331"/>
      <c r="C29" s="307">
        <f>encargos</f>
        <v>0.77580000000000005</v>
      </c>
      <c r="D29" s="298" t="s">
        <v>173</v>
      </c>
      <c r="E29" s="308">
        <f>SUM(G24:G28)</f>
        <v>2346.4500000000003</v>
      </c>
      <c r="F29" s="331" t="s">
        <v>174</v>
      </c>
      <c r="G29" s="332">
        <f t="shared" si="23"/>
        <v>1820.3800000000001</v>
      </c>
      <c r="H29" s="331"/>
    </row>
    <row r="30" ht="13.5" customHeight="1">
      <c r="A30" s="288" t="s">
        <v>180</v>
      </c>
      <c r="B30" s="331"/>
      <c r="C30" s="307"/>
      <c r="D30" s="298"/>
      <c r="E30" s="308"/>
      <c r="F30" s="331"/>
      <c r="G30" s="334">
        <f>SUM(G24:G29)</f>
        <v>4166.8299999999999</v>
      </c>
      <c r="H30" s="331"/>
    </row>
    <row r="31" ht="13.5" customHeight="1">
      <c r="A31" s="330" t="s">
        <v>181</v>
      </c>
      <c r="B31" s="331"/>
      <c r="C31" s="311">
        <f>dias_mes</f>
        <v>21.416666666666668</v>
      </c>
      <c r="D31" s="298" t="s">
        <v>173</v>
      </c>
      <c r="E31" s="308">
        <v>0</v>
      </c>
      <c r="F31" s="331" t="s">
        <v>174</v>
      </c>
      <c r="G31" s="332">
        <f t="shared" ref="G31:G38" si="24">ROUND(C31*E31,2)</f>
        <v>0</v>
      </c>
      <c r="H31" s="331"/>
    </row>
    <row r="32" ht="13.5" customHeight="1">
      <c r="A32" s="335" t="s">
        <v>182</v>
      </c>
      <c r="B32" s="336"/>
      <c r="C32" s="299">
        <v>1</v>
      </c>
      <c r="D32" s="298" t="s">
        <v>173</v>
      </c>
      <c r="E32" s="308">
        <v>0</v>
      </c>
      <c r="F32" s="331" t="s">
        <v>174</v>
      </c>
      <c r="G32" s="332">
        <f t="shared" si="24"/>
        <v>0</v>
      </c>
      <c r="H32" s="337"/>
    </row>
    <row r="33" ht="13.5" customHeight="1">
      <c r="A33" s="330" t="s">
        <v>183</v>
      </c>
      <c r="B33" s="331"/>
      <c r="C33" s="315">
        <f t="shared" ref="C33:C34" si="25">1/12</f>
        <v>8.3333333333333329e-002</v>
      </c>
      <c r="D33" s="298" t="s">
        <v>173</v>
      </c>
      <c r="E33" s="308">
        <v>0</v>
      </c>
      <c r="F33" s="331" t="s">
        <v>174</v>
      </c>
      <c r="G33" s="332">
        <f t="shared" si="24"/>
        <v>0</v>
      </c>
      <c r="H33" s="331"/>
    </row>
    <row r="34" ht="13.5" customHeight="1">
      <c r="A34" s="335" t="s">
        <v>184</v>
      </c>
      <c r="B34" s="336"/>
      <c r="C34" s="315">
        <f t="shared" si="25"/>
        <v>8.3333333333333329e-002</v>
      </c>
      <c r="D34" s="298" t="s">
        <v>173</v>
      </c>
      <c r="E34" s="308">
        <v>0</v>
      </c>
      <c r="F34" s="331" t="s">
        <v>174</v>
      </c>
      <c r="G34" s="332">
        <f t="shared" si="24"/>
        <v>0</v>
      </c>
      <c r="H34" s="337"/>
    </row>
    <row r="35" ht="13.5" customHeight="1">
      <c r="A35" s="330" t="s">
        <v>185</v>
      </c>
      <c r="B35" s="331"/>
      <c r="C35" s="316">
        <v>1</v>
      </c>
      <c r="D35" s="298" t="s">
        <v>173</v>
      </c>
      <c r="E35" s="317">
        <v>0</v>
      </c>
      <c r="F35" s="331" t="s">
        <v>174</v>
      </c>
      <c r="G35" s="332">
        <f t="shared" si="24"/>
        <v>0</v>
      </c>
      <c r="H35" s="337"/>
    </row>
    <row r="36" ht="13.5" customHeight="1">
      <c r="A36" s="330" t="s">
        <v>186</v>
      </c>
      <c r="B36" s="331"/>
      <c r="C36" s="316">
        <v>1</v>
      </c>
      <c r="D36" s="298" t="s">
        <v>173</v>
      </c>
      <c r="E36" s="317">
        <v>0</v>
      </c>
      <c r="F36" s="331" t="s">
        <v>174</v>
      </c>
      <c r="G36" s="332">
        <f t="shared" si="24"/>
        <v>0</v>
      </c>
      <c r="H36" s="331"/>
    </row>
    <row r="37" ht="13.5" customHeight="1">
      <c r="A37" s="330" t="s">
        <v>187</v>
      </c>
      <c r="B37" s="331"/>
      <c r="C37" s="316">
        <v>1</v>
      </c>
      <c r="D37" s="298" t="s">
        <v>173</v>
      </c>
      <c r="E37" s="317">
        <v>0</v>
      </c>
      <c r="F37" s="331" t="s">
        <v>174</v>
      </c>
      <c r="G37" s="332">
        <f t="shared" si="24"/>
        <v>0</v>
      </c>
      <c r="H37" s="331"/>
    </row>
    <row r="38" ht="13.5" customHeight="1">
      <c r="A38" s="330" t="s">
        <v>188</v>
      </c>
      <c r="B38" s="331"/>
      <c r="C38" s="316">
        <v>1</v>
      </c>
      <c r="D38" s="298" t="s">
        <v>173</v>
      </c>
      <c r="E38" s="317">
        <v>0</v>
      </c>
      <c r="F38" s="331" t="s">
        <v>174</v>
      </c>
      <c r="G38" s="332">
        <f t="shared" si="24"/>
        <v>0</v>
      </c>
      <c r="H38" s="331"/>
    </row>
    <row r="39" ht="13.5" customHeight="1">
      <c r="A39" s="335" t="s">
        <v>189</v>
      </c>
      <c r="B39" s="336"/>
      <c r="C39" s="318">
        <f>2*dias_mes</f>
        <v>42.833333333333336</v>
      </c>
      <c r="D39" s="298" t="s">
        <v>173</v>
      </c>
      <c r="E39" s="317">
        <v>0</v>
      </c>
      <c r="F39" s="331" t="s">
        <v>174</v>
      </c>
      <c r="G39" s="332">
        <f>IF(E24*0.06&lt;C39*E39,ROUND(C39*E39,2)-0.06*E24,0)</f>
        <v>0</v>
      </c>
      <c r="H39" s="292"/>
    </row>
    <row r="40" ht="13.5" customHeight="1">
      <c r="A40" s="338" t="s">
        <v>190</v>
      </c>
      <c r="B40" s="339"/>
      <c r="C40" s="321">
        <f>C24</f>
        <v>1</v>
      </c>
      <c r="D40" s="320" t="s">
        <v>173</v>
      </c>
      <c r="E40" s="322">
        <f>EPI!$H$24</f>
        <v>212.5</v>
      </c>
      <c r="F40" s="339" t="s">
        <v>174</v>
      </c>
      <c r="G40" s="340">
        <f>ROUND(C40*E40,2)</f>
        <v>212.5</v>
      </c>
      <c r="H40" s="331"/>
    </row>
    <row r="41" ht="13.5" customHeight="1">
      <c r="A41" s="324" t="s">
        <v>191</v>
      </c>
      <c r="B41" s="325"/>
      <c r="C41" s="326"/>
      <c r="D41" s="325"/>
      <c r="E41" s="326"/>
      <c r="F41" s="325"/>
      <c r="G41" s="327">
        <f>SUM(G30:G40)</f>
        <v>4379.3299999999999</v>
      </c>
      <c r="H41" s="289"/>
    </row>
    <row r="42" ht="6" customHeight="1">
      <c r="A42" s="328"/>
      <c r="G42" s="329"/>
    </row>
    <row r="43" ht="12.75" customHeight="1">
      <c r="A43" s="341" t="s">
        <v>193</v>
      </c>
      <c r="B43" s="342"/>
      <c r="C43" s="342"/>
      <c r="D43" s="342"/>
      <c r="E43" s="342"/>
      <c r="F43" s="342"/>
      <c r="G43" s="343"/>
    </row>
    <row r="44" ht="13.5" customHeight="1">
      <c r="A44" s="344" t="s">
        <v>172</v>
      </c>
      <c r="B44" s="345"/>
      <c r="C44" s="346">
        <v>1</v>
      </c>
      <c r="D44" s="347" t="s">
        <v>173</v>
      </c>
      <c r="E44" s="348">
        <v>2308.4000000000001</v>
      </c>
      <c r="F44" s="345" t="s">
        <v>174</v>
      </c>
      <c r="G44" s="349">
        <f t="shared" ref="G44:G49" si="26">ROUND(C44*E44,2)</f>
        <v>2308.4000000000001</v>
      </c>
    </row>
    <row r="45" ht="13.5" customHeight="1">
      <c r="A45" s="330" t="s">
        <v>175</v>
      </c>
      <c r="B45" s="331"/>
      <c r="C45" s="303">
        <v>0.40000000000000002</v>
      </c>
      <c r="D45" s="298" t="s">
        <v>173</v>
      </c>
      <c r="E45" s="300">
        <v>1412</v>
      </c>
      <c r="F45" s="331" t="s">
        <v>174</v>
      </c>
      <c r="G45" s="332">
        <f t="shared" si="26"/>
        <v>564.79999999999995</v>
      </c>
    </row>
    <row r="46" ht="13.5" customHeight="1">
      <c r="A46" s="330" t="s">
        <v>176</v>
      </c>
      <c r="B46" s="331"/>
      <c r="C46" s="304"/>
      <c r="D46" s="298" t="s">
        <v>173</v>
      </c>
      <c r="E46" s="300">
        <f>ROUND((SUM(G44:G45)/220)*1.5,2)</f>
        <v>19.59</v>
      </c>
      <c r="F46" s="331" t="s">
        <v>174</v>
      </c>
      <c r="G46" s="332">
        <f t="shared" si="26"/>
        <v>0</v>
      </c>
    </row>
    <row r="47" ht="13.5" customHeight="1">
      <c r="A47" s="330" t="s">
        <v>177</v>
      </c>
      <c r="B47" s="331"/>
      <c r="C47" s="304">
        <v>0</v>
      </c>
      <c r="D47" s="298" t="s">
        <v>173</v>
      </c>
      <c r="E47" s="300">
        <f>ROUND((SUM(G44:G45)/220)*2,2)</f>
        <v>26.120000000000001</v>
      </c>
      <c r="F47" s="331" t="s">
        <v>174</v>
      </c>
      <c r="G47" s="332">
        <f t="shared" si="26"/>
        <v>0</v>
      </c>
    </row>
    <row r="48" ht="13.5" customHeight="1">
      <c r="A48" s="330" t="s">
        <v>178</v>
      </c>
      <c r="B48" s="331"/>
      <c r="C48" s="304">
        <v>42</v>
      </c>
      <c r="D48" s="298" t="s">
        <v>173</v>
      </c>
      <c r="E48" s="300">
        <f>(SUM(G44:G45)/220)*0.2</f>
        <v>2.6120000000000001</v>
      </c>
      <c r="F48" s="331" t="s">
        <v>174</v>
      </c>
      <c r="G48" s="332">
        <f t="shared" si="26"/>
        <v>109.7</v>
      </c>
    </row>
    <row r="49" ht="13.5" customHeight="1">
      <c r="A49" s="330" t="s">
        <v>179</v>
      </c>
      <c r="B49" s="331"/>
      <c r="C49" s="307">
        <f>encargos</f>
        <v>0.77580000000000005</v>
      </c>
      <c r="D49" s="298" t="s">
        <v>173</v>
      </c>
      <c r="E49" s="308">
        <f>SUM(G44:G48)</f>
        <v>2982.8999999999996</v>
      </c>
      <c r="F49" s="331" t="s">
        <v>174</v>
      </c>
      <c r="G49" s="332">
        <f t="shared" si="26"/>
        <v>2314.1300000000001</v>
      </c>
    </row>
    <row r="50" ht="13.5" customHeight="1">
      <c r="A50" s="288" t="s">
        <v>180</v>
      </c>
      <c r="B50" s="331"/>
      <c r="C50" s="307"/>
      <c r="D50" s="298"/>
      <c r="E50" s="308"/>
      <c r="F50" s="331"/>
      <c r="G50" s="334">
        <f>SUM(G44:G49)</f>
        <v>5297.0299999999997</v>
      </c>
    </row>
    <row r="51" ht="12" customHeight="1">
      <c r="A51" s="330" t="s">
        <v>181</v>
      </c>
      <c r="B51" s="331"/>
      <c r="C51" s="311">
        <f>dias_mes</f>
        <v>21.416666666666668</v>
      </c>
      <c r="D51" s="298" t="s">
        <v>173</v>
      </c>
      <c r="E51" s="308">
        <v>0</v>
      </c>
      <c r="F51" s="331" t="s">
        <v>174</v>
      </c>
      <c r="G51" s="332">
        <f t="shared" ref="G51:G58" si="27">ROUND(C51*E51,2)</f>
        <v>0</v>
      </c>
    </row>
    <row r="52" ht="12" customHeight="1">
      <c r="A52" s="335" t="s">
        <v>182</v>
      </c>
      <c r="B52" s="336"/>
      <c r="C52" s="299">
        <v>1</v>
      </c>
      <c r="D52" s="298" t="s">
        <v>173</v>
      </c>
      <c r="E52" s="308">
        <v>0</v>
      </c>
      <c r="F52" s="331" t="s">
        <v>174</v>
      </c>
      <c r="G52" s="332">
        <f t="shared" si="27"/>
        <v>0</v>
      </c>
    </row>
    <row r="53" ht="12" customHeight="1">
      <c r="A53" s="330" t="s">
        <v>183</v>
      </c>
      <c r="B53" s="331"/>
      <c r="C53" s="315">
        <f t="shared" ref="C53:C54" si="28">1/12</f>
        <v>8.3333333333333329e-002</v>
      </c>
      <c r="D53" s="298" t="s">
        <v>173</v>
      </c>
      <c r="E53" s="308">
        <v>0</v>
      </c>
      <c r="F53" s="331" t="s">
        <v>174</v>
      </c>
      <c r="G53" s="332">
        <f t="shared" si="27"/>
        <v>0</v>
      </c>
    </row>
    <row r="54" ht="12" customHeight="1">
      <c r="A54" s="335" t="s">
        <v>184</v>
      </c>
      <c r="B54" s="336"/>
      <c r="C54" s="315">
        <f t="shared" si="28"/>
        <v>8.3333333333333329e-002</v>
      </c>
      <c r="D54" s="298" t="s">
        <v>173</v>
      </c>
      <c r="E54" s="308">
        <v>0</v>
      </c>
      <c r="F54" s="331" t="s">
        <v>174</v>
      </c>
      <c r="G54" s="332">
        <f t="shared" si="27"/>
        <v>0</v>
      </c>
    </row>
    <row r="55" ht="12" customHeight="1">
      <c r="A55" s="330" t="s">
        <v>185</v>
      </c>
      <c r="B55" s="331"/>
      <c r="C55" s="316">
        <v>0</v>
      </c>
      <c r="D55" s="298" t="s">
        <v>173</v>
      </c>
      <c r="E55" s="317">
        <v>0</v>
      </c>
      <c r="F55" s="331" t="s">
        <v>174</v>
      </c>
      <c r="G55" s="332">
        <f t="shared" si="27"/>
        <v>0</v>
      </c>
    </row>
    <row r="56" ht="12" customHeight="1">
      <c r="A56" s="330" t="s">
        <v>186</v>
      </c>
      <c r="B56" s="331"/>
      <c r="C56" s="316">
        <v>1</v>
      </c>
      <c r="D56" s="298" t="s">
        <v>173</v>
      </c>
      <c r="E56" s="317">
        <v>0</v>
      </c>
      <c r="F56" s="331" t="s">
        <v>174</v>
      </c>
      <c r="G56" s="332">
        <f t="shared" si="27"/>
        <v>0</v>
      </c>
    </row>
    <row r="57" ht="12" customHeight="1">
      <c r="A57" s="330" t="s">
        <v>188</v>
      </c>
      <c r="B57" s="331"/>
      <c r="C57" s="316">
        <v>1</v>
      </c>
      <c r="D57" s="298" t="s">
        <v>173</v>
      </c>
      <c r="E57" s="317">
        <v>0</v>
      </c>
      <c r="F57" s="331" t="s">
        <v>174</v>
      </c>
      <c r="G57" s="332">
        <f t="shared" si="27"/>
        <v>0</v>
      </c>
      <c r="H57" s="331"/>
    </row>
    <row r="58" ht="12" customHeight="1">
      <c r="A58" s="335" t="s">
        <v>187</v>
      </c>
      <c r="B58" s="336"/>
      <c r="C58" s="316">
        <v>1</v>
      </c>
      <c r="D58" s="298" t="s">
        <v>173</v>
      </c>
      <c r="E58" s="317">
        <v>0</v>
      </c>
      <c r="F58" s="331"/>
      <c r="G58" s="332">
        <f t="shared" si="27"/>
        <v>0</v>
      </c>
    </row>
    <row r="59" ht="12" customHeight="1">
      <c r="A59" s="330" t="s">
        <v>189</v>
      </c>
      <c r="B59" s="331"/>
      <c r="C59" s="318">
        <f>2*dias_mes</f>
        <v>42.833333333333336</v>
      </c>
      <c r="D59" s="298" t="s">
        <v>173</v>
      </c>
      <c r="E59" s="317">
        <v>0</v>
      </c>
      <c r="F59" s="331" t="s">
        <v>174</v>
      </c>
      <c r="G59" s="332">
        <f>IF(E44*0.06&lt;C59*E59,ROUND(C59*E59,2)-0.06*E44,0)</f>
        <v>0</v>
      </c>
    </row>
    <row r="60" ht="12" customHeight="1">
      <c r="A60" s="338" t="s">
        <v>190</v>
      </c>
      <c r="B60" s="339"/>
      <c r="C60" s="321">
        <f>C44</f>
        <v>1</v>
      </c>
      <c r="D60" s="320" t="s">
        <v>173</v>
      </c>
      <c r="E60" s="322">
        <v>49.149999999999999</v>
      </c>
      <c r="F60" s="339" t="s">
        <v>174</v>
      </c>
      <c r="G60" s="340">
        <f>ROUND(C60*E60,2)</f>
        <v>49.149999999999999</v>
      </c>
    </row>
    <row r="61" ht="15.75">
      <c r="A61" s="350" t="s">
        <v>191</v>
      </c>
      <c r="B61" s="351"/>
      <c r="C61" s="352"/>
      <c r="D61" s="351"/>
      <c r="E61" s="352"/>
      <c r="F61" s="351"/>
      <c r="G61" s="353">
        <f>SUM(G50:G60)</f>
        <v>5346.1799999999994</v>
      </c>
    </row>
    <row r="62" ht="6.75" customHeight="1">
      <c r="A62" s="328"/>
      <c r="G62" s="329"/>
    </row>
    <row r="63" ht="15" customHeight="1">
      <c r="A63" s="341" t="s">
        <v>194</v>
      </c>
      <c r="B63" s="342"/>
      <c r="C63" s="342"/>
      <c r="D63" s="342"/>
      <c r="E63" s="342"/>
      <c r="F63" s="342"/>
      <c r="G63" s="343"/>
    </row>
    <row r="64" ht="13.5" customHeight="1">
      <c r="A64" s="344" t="s">
        <v>172</v>
      </c>
      <c r="B64" s="345"/>
      <c r="C64" s="346">
        <v>1</v>
      </c>
      <c r="D64" s="347" t="s">
        <v>173</v>
      </c>
      <c r="E64" s="348">
        <v>2308.4000000000001</v>
      </c>
      <c r="F64" s="345" t="s">
        <v>174</v>
      </c>
      <c r="G64" s="349">
        <f t="shared" ref="G64:G69" si="29">ROUND(C64*E64,2)</f>
        <v>2308.4000000000001</v>
      </c>
    </row>
    <row r="65" ht="13.5" customHeight="1">
      <c r="A65" s="330" t="s">
        <v>175</v>
      </c>
      <c r="B65" s="331"/>
      <c r="C65" s="303">
        <v>0.20000000000000001</v>
      </c>
      <c r="D65" s="298" t="s">
        <v>173</v>
      </c>
      <c r="E65" s="300">
        <v>1412</v>
      </c>
      <c r="F65" s="331" t="s">
        <v>174</v>
      </c>
      <c r="G65" s="332">
        <f t="shared" si="29"/>
        <v>282.39999999999998</v>
      </c>
    </row>
    <row r="66" ht="13.5" customHeight="1">
      <c r="A66" s="330" t="s">
        <v>176</v>
      </c>
      <c r="B66" s="331"/>
      <c r="C66" s="304">
        <v>0</v>
      </c>
      <c r="D66" s="298" t="s">
        <v>173</v>
      </c>
      <c r="E66" s="300">
        <f>ROUND((SUM(G64:G65)/220)*1.5,2)</f>
        <v>17.66</v>
      </c>
      <c r="F66" s="331" t="s">
        <v>174</v>
      </c>
      <c r="G66" s="332">
        <f t="shared" si="29"/>
        <v>0</v>
      </c>
    </row>
    <row r="67" ht="13.5" customHeight="1">
      <c r="A67" s="330" t="s">
        <v>177</v>
      </c>
      <c r="B67" s="331"/>
      <c r="C67" s="304">
        <v>0</v>
      </c>
      <c r="D67" s="298" t="s">
        <v>173</v>
      </c>
      <c r="E67" s="300">
        <f>ROUND((SUM(G64:G65)/220)*2,2)</f>
        <v>23.550000000000001</v>
      </c>
      <c r="F67" s="331" t="s">
        <v>174</v>
      </c>
      <c r="G67" s="332">
        <f t="shared" si="29"/>
        <v>0</v>
      </c>
    </row>
    <row r="68" ht="13.5" customHeight="1">
      <c r="A68" s="330" t="s">
        <v>178</v>
      </c>
      <c r="B68" s="331"/>
      <c r="C68" s="333">
        <f>2*dias_mes</f>
        <v>42.833333333333336</v>
      </c>
      <c r="D68" s="298" t="s">
        <v>173</v>
      </c>
      <c r="E68" s="300">
        <f>(SUM(G64:G65)/220)*0.2</f>
        <v>2.3552727272727276</v>
      </c>
      <c r="F68" s="331" t="s">
        <v>174</v>
      </c>
      <c r="G68" s="332">
        <f t="shared" si="29"/>
        <v>100.88</v>
      </c>
    </row>
    <row r="69" ht="13.5" customHeight="1">
      <c r="A69" s="330" t="s">
        <v>179</v>
      </c>
      <c r="B69" s="331"/>
      <c r="C69" s="307">
        <f>encargos</f>
        <v>0.77580000000000005</v>
      </c>
      <c r="D69" s="298" t="s">
        <v>173</v>
      </c>
      <c r="E69" s="308">
        <f>SUM(G64:G68)</f>
        <v>2691.6800000000003</v>
      </c>
      <c r="F69" s="331" t="s">
        <v>174</v>
      </c>
      <c r="G69" s="332">
        <f t="shared" si="29"/>
        <v>2088.21</v>
      </c>
    </row>
    <row r="70" ht="13.5" customHeight="1">
      <c r="A70" s="288" t="s">
        <v>180</v>
      </c>
      <c r="B70" s="331"/>
      <c r="C70" s="307"/>
      <c r="D70" s="298"/>
      <c r="E70" s="308"/>
      <c r="F70" s="331"/>
      <c r="G70" s="334">
        <f>SUM(G64:G69)</f>
        <v>4779.8900000000003</v>
      </c>
    </row>
    <row r="71" ht="13.5" customHeight="1">
      <c r="A71" s="330" t="s">
        <v>181</v>
      </c>
      <c r="B71" s="331"/>
      <c r="C71" s="311">
        <f>dias_mes</f>
        <v>21.416666666666668</v>
      </c>
      <c r="D71" s="298" t="s">
        <v>173</v>
      </c>
      <c r="E71" s="308"/>
      <c r="F71" s="331" t="s">
        <v>174</v>
      </c>
      <c r="G71" s="332">
        <f t="shared" ref="G71:G78" si="30">ROUND(C71*E71,2)</f>
        <v>0</v>
      </c>
    </row>
    <row r="72" ht="13.5" customHeight="1">
      <c r="A72" s="335" t="s">
        <v>182</v>
      </c>
      <c r="B72" s="336"/>
      <c r="C72" s="299">
        <v>1</v>
      </c>
      <c r="D72" s="298" t="s">
        <v>173</v>
      </c>
      <c r="E72" s="308">
        <v>0</v>
      </c>
      <c r="F72" s="331" t="s">
        <v>174</v>
      </c>
      <c r="G72" s="332">
        <f t="shared" si="30"/>
        <v>0</v>
      </c>
    </row>
    <row r="73" ht="13.5" customHeight="1">
      <c r="A73" s="330" t="s">
        <v>183</v>
      </c>
      <c r="B73" s="331"/>
      <c r="C73" s="315">
        <f t="shared" ref="C73:C74" si="31">1/12</f>
        <v>8.3333333333333329e-002</v>
      </c>
      <c r="D73" s="298" t="s">
        <v>173</v>
      </c>
      <c r="E73" s="308">
        <v>0</v>
      </c>
      <c r="F73" s="331" t="s">
        <v>174</v>
      </c>
      <c r="G73" s="332">
        <f t="shared" si="30"/>
        <v>0</v>
      </c>
    </row>
    <row r="74" ht="13.5" customHeight="1">
      <c r="A74" s="335" t="s">
        <v>184</v>
      </c>
      <c r="B74" s="336"/>
      <c r="C74" s="315">
        <f t="shared" si="31"/>
        <v>8.3333333333333329e-002</v>
      </c>
      <c r="D74" s="298" t="s">
        <v>173</v>
      </c>
      <c r="E74" s="308">
        <v>0</v>
      </c>
      <c r="F74" s="331" t="s">
        <v>174</v>
      </c>
      <c r="G74" s="332">
        <f t="shared" si="30"/>
        <v>0</v>
      </c>
    </row>
    <row r="75" ht="13.5" customHeight="1">
      <c r="A75" s="330" t="s">
        <v>185</v>
      </c>
      <c r="B75" s="331"/>
      <c r="C75" s="316">
        <v>0</v>
      </c>
      <c r="D75" s="298" t="s">
        <v>173</v>
      </c>
      <c r="E75" s="317">
        <v>0</v>
      </c>
      <c r="F75" s="331" t="s">
        <v>174</v>
      </c>
      <c r="G75" s="332">
        <f t="shared" si="30"/>
        <v>0</v>
      </c>
    </row>
    <row r="76" ht="13.5" customHeight="1">
      <c r="A76" s="330" t="s">
        <v>186</v>
      </c>
      <c r="B76" s="331"/>
      <c r="C76" s="316">
        <v>1</v>
      </c>
      <c r="D76" s="298" t="s">
        <v>173</v>
      </c>
      <c r="E76" s="317">
        <v>0</v>
      </c>
      <c r="F76" s="331" t="s">
        <v>174</v>
      </c>
      <c r="G76" s="332">
        <f t="shared" si="30"/>
        <v>0</v>
      </c>
    </row>
    <row r="77" ht="13.5" customHeight="1">
      <c r="A77" s="330" t="s">
        <v>188</v>
      </c>
      <c r="B77" s="331"/>
      <c r="C77" s="316">
        <v>1</v>
      </c>
      <c r="D77" s="298" t="s">
        <v>173</v>
      </c>
      <c r="E77" s="317">
        <v>0</v>
      </c>
      <c r="F77" s="331" t="s">
        <v>174</v>
      </c>
      <c r="G77" s="332">
        <f t="shared" si="30"/>
        <v>0</v>
      </c>
      <c r="H77" s="331"/>
    </row>
    <row r="78" ht="13.5" customHeight="1">
      <c r="A78" s="335" t="s">
        <v>187</v>
      </c>
      <c r="B78" s="336"/>
      <c r="C78" s="316">
        <v>1</v>
      </c>
      <c r="D78" s="298" t="s">
        <v>173</v>
      </c>
      <c r="E78" s="317">
        <v>0</v>
      </c>
      <c r="F78" s="331"/>
      <c r="G78" s="332">
        <f t="shared" si="30"/>
        <v>0</v>
      </c>
    </row>
    <row r="79" ht="13.5" customHeight="1">
      <c r="A79" s="330" t="s">
        <v>189</v>
      </c>
      <c r="B79" s="331"/>
      <c r="C79" s="318">
        <f>2*COLETA!$B$5</f>
        <v>42.833333333333336</v>
      </c>
      <c r="D79" s="298" t="s">
        <v>173</v>
      </c>
      <c r="E79" s="317">
        <v>0</v>
      </c>
      <c r="F79" s="331" t="s">
        <v>174</v>
      </c>
      <c r="G79" s="332">
        <f>IF(E64*0.06&lt;C79*E79,ROUND(C79*E79,2)-0.06*E64,0)</f>
        <v>0</v>
      </c>
    </row>
    <row r="80" ht="13.5" customHeight="1">
      <c r="A80" s="338" t="s">
        <v>190</v>
      </c>
      <c r="B80" s="339"/>
      <c r="C80" s="321">
        <f>C64</f>
        <v>1</v>
      </c>
      <c r="D80" s="320" t="s">
        <v>173</v>
      </c>
      <c r="E80" s="322">
        <v>49.149999999999999</v>
      </c>
      <c r="F80" s="339" t="s">
        <v>174</v>
      </c>
      <c r="G80" s="340">
        <f>ROUND(C80*E80,2)</f>
        <v>49.149999999999999</v>
      </c>
    </row>
    <row r="81" ht="15.75">
      <c r="A81" s="350" t="s">
        <v>191</v>
      </c>
      <c r="B81" s="351"/>
      <c r="C81" s="352"/>
      <c r="D81" s="351"/>
      <c r="E81" s="352"/>
      <c r="F81" s="351"/>
      <c r="G81" s="353">
        <f>SUM(G70:G80)</f>
        <v>4829.04</v>
      </c>
    </row>
    <row r="82" ht="6.75" customHeight="1">
      <c r="A82" s="328"/>
      <c r="G82" s="329"/>
    </row>
    <row r="83" ht="17.25" customHeight="1">
      <c r="A83" s="341" t="s">
        <v>195</v>
      </c>
      <c r="B83" s="342"/>
      <c r="C83" s="342"/>
      <c r="D83" s="342"/>
      <c r="E83" s="342"/>
      <c r="F83" s="342"/>
      <c r="G83" s="343"/>
    </row>
    <row r="84" ht="13.5" customHeight="1">
      <c r="A84" s="344" t="s">
        <v>172</v>
      </c>
      <c r="B84" s="345"/>
      <c r="C84" s="346">
        <v>1</v>
      </c>
      <c r="D84" s="347" t="s">
        <v>173</v>
      </c>
      <c r="E84" s="348">
        <v>2308.4000000000001</v>
      </c>
      <c r="F84" s="345" t="s">
        <v>174</v>
      </c>
      <c r="G84" s="349">
        <f t="shared" ref="G84:G90" si="32">ROUND(C84*E84,2)</f>
        <v>2308.4000000000001</v>
      </c>
    </row>
    <row r="85" ht="13.5" customHeight="1">
      <c r="A85" s="330" t="s">
        <v>196</v>
      </c>
      <c r="B85" s="331"/>
      <c r="C85" s="354">
        <v>0.20000000000000001</v>
      </c>
      <c r="D85" s="298" t="s">
        <v>173</v>
      </c>
      <c r="E85" s="300">
        <f>E84</f>
        <v>2308.4000000000001</v>
      </c>
      <c r="F85" s="331" t="s">
        <v>174</v>
      </c>
      <c r="G85" s="332">
        <f t="shared" si="32"/>
        <v>461.68000000000001</v>
      </c>
    </row>
    <row r="86" ht="13.5" customHeight="1">
      <c r="A86" s="330" t="s">
        <v>175</v>
      </c>
      <c r="B86" s="331"/>
      <c r="C86" s="355">
        <v>0.40000000000000002</v>
      </c>
      <c r="D86" s="298" t="s">
        <v>173</v>
      </c>
      <c r="E86" s="300">
        <v>1412</v>
      </c>
      <c r="F86" s="331" t="s">
        <v>174</v>
      </c>
      <c r="G86" s="332">
        <f t="shared" si="32"/>
        <v>564.79999999999995</v>
      </c>
    </row>
    <row r="87" ht="13.5" customHeight="1">
      <c r="A87" s="330" t="s">
        <v>176</v>
      </c>
      <c r="B87" s="331"/>
      <c r="C87" s="304"/>
      <c r="D87" s="298" t="s">
        <v>173</v>
      </c>
      <c r="E87" s="300">
        <f>ROUND((SUM(G84:G86)/220)*1.5,2)</f>
        <v>22.739999999999998</v>
      </c>
      <c r="F87" s="331" t="s">
        <v>174</v>
      </c>
      <c r="G87" s="332">
        <f t="shared" si="32"/>
        <v>0</v>
      </c>
    </row>
    <row r="88" ht="13.5" customHeight="1">
      <c r="A88" s="330" t="s">
        <v>177</v>
      </c>
      <c r="B88" s="331"/>
      <c r="C88" s="304">
        <v>0</v>
      </c>
      <c r="D88" s="298" t="s">
        <v>173</v>
      </c>
      <c r="E88" s="300">
        <f>ROUND((SUM(G85:G86)/220)*2,2)</f>
        <v>9.3300000000000001</v>
      </c>
      <c r="F88" s="331" t="s">
        <v>174</v>
      </c>
      <c r="G88" s="332">
        <f t="shared" si="32"/>
        <v>0</v>
      </c>
    </row>
    <row r="89" ht="13.5" customHeight="1">
      <c r="A89" s="330" t="s">
        <v>178</v>
      </c>
      <c r="B89" s="331"/>
      <c r="C89" s="304">
        <v>0</v>
      </c>
      <c r="D89" s="298" t="s">
        <v>173</v>
      </c>
      <c r="E89" s="300">
        <f>(SUM(G85:G86)/220)*0.2</f>
        <v>0.93316363636363642</v>
      </c>
      <c r="F89" s="331" t="s">
        <v>174</v>
      </c>
      <c r="G89" s="332">
        <f t="shared" si="32"/>
        <v>0</v>
      </c>
    </row>
    <row r="90" ht="13.5" customHeight="1">
      <c r="A90" s="330" t="s">
        <v>179</v>
      </c>
      <c r="B90" s="331"/>
      <c r="C90" s="307">
        <f>encargos</f>
        <v>0.77580000000000005</v>
      </c>
      <c r="D90" s="298" t="s">
        <v>173</v>
      </c>
      <c r="E90" s="308">
        <f>SUM(G84:G89)</f>
        <v>3334.8800000000001</v>
      </c>
      <c r="F90" s="331" t="s">
        <v>174</v>
      </c>
      <c r="G90" s="332">
        <f t="shared" si="32"/>
        <v>2587.1999999999998</v>
      </c>
    </row>
    <row r="91" ht="13.5" customHeight="1">
      <c r="A91" s="288" t="s">
        <v>180</v>
      </c>
      <c r="B91" s="331"/>
      <c r="C91" s="307"/>
      <c r="D91" s="298"/>
      <c r="E91" s="308"/>
      <c r="F91" s="331"/>
      <c r="G91" s="334">
        <f>SUM(G84:G90)</f>
        <v>5922.0799999999999</v>
      </c>
    </row>
    <row r="92" ht="13.5" customHeight="1">
      <c r="A92" s="330" t="s">
        <v>181</v>
      </c>
      <c r="B92" s="331"/>
      <c r="C92" s="311">
        <f>dias_mes</f>
        <v>21.416666666666668</v>
      </c>
      <c r="D92" s="298" t="s">
        <v>173</v>
      </c>
      <c r="E92" s="308">
        <v>0</v>
      </c>
      <c r="F92" s="331" t="s">
        <v>174</v>
      </c>
      <c r="G92" s="332">
        <f t="shared" ref="G92:G99" si="33">ROUND(C92*E92,2)</f>
        <v>0</v>
      </c>
    </row>
    <row r="93" ht="13.5" customHeight="1">
      <c r="A93" s="335" t="s">
        <v>182</v>
      </c>
      <c r="B93" s="336"/>
      <c r="C93" s="299">
        <v>1</v>
      </c>
      <c r="D93" s="298" t="s">
        <v>173</v>
      </c>
      <c r="E93" s="308">
        <v>0</v>
      </c>
      <c r="F93" s="331" t="s">
        <v>174</v>
      </c>
      <c r="G93" s="332">
        <f t="shared" si="33"/>
        <v>0</v>
      </c>
    </row>
    <row r="94" ht="13.5" customHeight="1">
      <c r="A94" s="330" t="s">
        <v>183</v>
      </c>
      <c r="B94" s="331"/>
      <c r="C94" s="315">
        <f t="shared" ref="C94:C95" si="34">1/12</f>
        <v>8.3333333333333329e-002</v>
      </c>
      <c r="D94" s="298" t="s">
        <v>173</v>
      </c>
      <c r="E94" s="308">
        <v>0</v>
      </c>
      <c r="F94" s="331" t="s">
        <v>174</v>
      </c>
      <c r="G94" s="332">
        <f t="shared" si="33"/>
        <v>0</v>
      </c>
    </row>
    <row r="95" ht="13.5" customHeight="1">
      <c r="A95" s="335" t="s">
        <v>184</v>
      </c>
      <c r="B95" s="336"/>
      <c r="C95" s="315">
        <f t="shared" si="34"/>
        <v>8.3333333333333329e-002</v>
      </c>
      <c r="D95" s="298" t="s">
        <v>173</v>
      </c>
      <c r="E95" s="308">
        <v>0</v>
      </c>
      <c r="F95" s="331" t="s">
        <v>174</v>
      </c>
      <c r="G95" s="332">
        <f t="shared" si="33"/>
        <v>0</v>
      </c>
    </row>
    <row r="96" ht="13.5" customHeight="1">
      <c r="A96" s="330" t="s">
        <v>185</v>
      </c>
      <c r="B96" s="331"/>
      <c r="C96" s="316">
        <v>0</v>
      </c>
      <c r="D96" s="298" t="s">
        <v>173</v>
      </c>
      <c r="E96" s="317">
        <v>0</v>
      </c>
      <c r="F96" s="331" t="s">
        <v>174</v>
      </c>
      <c r="G96" s="332">
        <f t="shared" si="33"/>
        <v>0</v>
      </c>
    </row>
    <row r="97" ht="13.5" customHeight="1">
      <c r="A97" s="330" t="s">
        <v>186</v>
      </c>
      <c r="B97" s="331"/>
      <c r="C97" s="316">
        <v>1</v>
      </c>
      <c r="D97" s="298" t="s">
        <v>173</v>
      </c>
      <c r="E97" s="317">
        <v>0</v>
      </c>
      <c r="F97" s="331" t="s">
        <v>174</v>
      </c>
      <c r="G97" s="332">
        <f t="shared" si="33"/>
        <v>0</v>
      </c>
    </row>
    <row r="98" ht="13.5" customHeight="1">
      <c r="A98" s="330" t="s">
        <v>188</v>
      </c>
      <c r="B98" s="331"/>
      <c r="C98" s="316">
        <v>1</v>
      </c>
      <c r="D98" s="298" t="s">
        <v>173</v>
      </c>
      <c r="E98" s="317">
        <v>0</v>
      </c>
      <c r="F98" s="331" t="s">
        <v>174</v>
      </c>
      <c r="G98" s="332">
        <f t="shared" si="33"/>
        <v>0</v>
      </c>
      <c r="H98" s="331"/>
    </row>
    <row r="99" ht="13.5" customHeight="1">
      <c r="A99" s="335" t="s">
        <v>187</v>
      </c>
      <c r="B99" s="336"/>
      <c r="C99" s="316">
        <v>1</v>
      </c>
      <c r="D99" s="298" t="s">
        <v>173</v>
      </c>
      <c r="E99" s="317">
        <v>0</v>
      </c>
      <c r="F99" s="331"/>
      <c r="G99" s="332">
        <f t="shared" si="33"/>
        <v>0</v>
      </c>
    </row>
    <row r="100" ht="13.5" customHeight="1">
      <c r="A100" s="330" t="s">
        <v>189</v>
      </c>
      <c r="B100" s="331"/>
      <c r="C100" s="318">
        <f>2*dias_mes</f>
        <v>42.833333333333336</v>
      </c>
      <c r="D100" s="298" t="s">
        <v>173</v>
      </c>
      <c r="E100" s="317">
        <v>0</v>
      </c>
      <c r="F100" s="331" t="s">
        <v>174</v>
      </c>
      <c r="G100" s="332">
        <f>IF(E84*0.06&lt;C100*E100,ROUND(C100*E100,2)-0.06*E84,0)</f>
        <v>0</v>
      </c>
    </row>
    <row r="101" ht="13.5" customHeight="1">
      <c r="A101" s="338" t="s">
        <v>190</v>
      </c>
      <c r="B101" s="339"/>
      <c r="C101" s="321">
        <f>C84</f>
        <v>1</v>
      </c>
      <c r="D101" s="320" t="s">
        <v>173</v>
      </c>
      <c r="E101" s="322">
        <v>49.149999999999999</v>
      </c>
      <c r="F101" s="339" t="s">
        <v>174</v>
      </c>
      <c r="G101" s="340">
        <f>ROUND(C101*E101,2)</f>
        <v>49.149999999999999</v>
      </c>
    </row>
    <row r="102" ht="15.75">
      <c r="A102" s="350" t="s">
        <v>191</v>
      </c>
      <c r="B102" s="351"/>
      <c r="C102" s="352"/>
      <c r="D102" s="351"/>
      <c r="E102" s="352"/>
      <c r="F102" s="351"/>
      <c r="G102" s="353">
        <f>SUM(G91:G101)</f>
        <v>5971.2299999999996</v>
      </c>
    </row>
    <row r="103" ht="9.75" customHeight="1">
      <c r="A103" s="288"/>
      <c r="B103" s="289"/>
      <c r="C103" s="290"/>
      <c r="D103" s="289"/>
      <c r="E103" s="290"/>
      <c r="F103" s="289"/>
      <c r="G103" s="291"/>
    </row>
    <row r="104" ht="13.5" customHeight="1">
      <c r="A104" s="356" t="s">
        <v>197</v>
      </c>
      <c r="B104" s="357"/>
      <c r="C104" s="357"/>
      <c r="D104" s="357"/>
      <c r="E104" s="357"/>
      <c r="F104" s="357"/>
      <c r="G104" s="358"/>
    </row>
    <row r="105" ht="28.5">
      <c r="A105" s="359" t="s">
        <v>198</v>
      </c>
      <c r="B105" s="360" t="s">
        <v>199</v>
      </c>
      <c r="C105" s="360" t="s">
        <v>200</v>
      </c>
      <c r="D105" s="360"/>
      <c r="E105" s="360" t="s">
        <v>201</v>
      </c>
      <c r="F105" s="360"/>
      <c r="G105" s="361" t="s">
        <v>202</v>
      </c>
    </row>
    <row r="106" ht="13.5" customHeight="1">
      <c r="A106" s="328" t="s">
        <v>203</v>
      </c>
      <c r="B106" s="362">
        <v>1</v>
      </c>
      <c r="C106" s="363">
        <f>G61</f>
        <v>5346.1799999999994</v>
      </c>
      <c r="D106" s="363"/>
      <c r="E106" s="364">
        <f t="shared" ref="E106:E112" si="35">B106*C106</f>
        <v>5346.1799999999994</v>
      </c>
      <c r="F106" s="365" t="str">
        <f t="shared" ref="F106:F113" si="36">"-&gt;"</f>
        <v>-&gt;</v>
      </c>
      <c r="G106" s="366">
        <f t="shared" ref="G106:G112" si="37">E106*(1+REAJUSTE)</f>
        <v>5747.1434999999992</v>
      </c>
    </row>
    <row r="107" ht="13.5" customHeight="1">
      <c r="A107" s="328" t="s">
        <v>204</v>
      </c>
      <c r="B107" s="362">
        <v>2</v>
      </c>
      <c r="C107" s="364">
        <f>G81</f>
        <v>4829.04</v>
      </c>
      <c r="D107" s="364"/>
      <c r="E107" s="364">
        <f t="shared" si="35"/>
        <v>9658.0799999999999</v>
      </c>
      <c r="F107" s="365" t="str">
        <f t="shared" si="36"/>
        <v>-&gt;</v>
      </c>
      <c r="G107" s="366">
        <f t="shared" si="37"/>
        <v>10382.436</v>
      </c>
    </row>
    <row r="108" ht="13.5" customHeight="1">
      <c r="A108" s="328" t="s">
        <v>205</v>
      </c>
      <c r="B108" s="362">
        <v>2</v>
      </c>
      <c r="C108" s="364">
        <f>G21</f>
        <v>4163.3000000000002</v>
      </c>
      <c r="D108" s="364"/>
      <c r="E108" s="364">
        <f t="shared" si="35"/>
        <v>8326.6000000000004</v>
      </c>
      <c r="F108" s="365" t="str">
        <f t="shared" si="36"/>
        <v>-&gt;</v>
      </c>
      <c r="G108" s="366">
        <f t="shared" si="37"/>
        <v>8951.0949999999993</v>
      </c>
    </row>
    <row r="109" ht="13.5" customHeight="1">
      <c r="A109" s="328" t="s">
        <v>206</v>
      </c>
      <c r="B109" s="362">
        <v>6</v>
      </c>
      <c r="C109" s="364">
        <f>G41</f>
        <v>4379.3299999999999</v>
      </c>
      <c r="D109" s="364"/>
      <c r="E109" s="364">
        <f t="shared" si="35"/>
        <v>26275.98</v>
      </c>
      <c r="F109" s="365" t="str">
        <f t="shared" si="36"/>
        <v>-&gt;</v>
      </c>
      <c r="G109" s="366">
        <f t="shared" si="37"/>
        <v>28246.678499999998</v>
      </c>
    </row>
    <row r="110" ht="13.5" customHeight="1">
      <c r="A110" s="328" t="s">
        <v>207</v>
      </c>
      <c r="B110" s="362">
        <v>1</v>
      </c>
      <c r="C110" s="364">
        <f t="shared" ref="C110:C111" si="38">C108</f>
        <v>4163.3000000000002</v>
      </c>
      <c r="D110" s="364"/>
      <c r="E110" s="364">
        <f t="shared" si="35"/>
        <v>4163.3000000000002</v>
      </c>
      <c r="F110" s="365" t="str">
        <f t="shared" si="36"/>
        <v>-&gt;</v>
      </c>
      <c r="G110" s="366">
        <f t="shared" si="37"/>
        <v>4475.5474999999997</v>
      </c>
    </row>
    <row r="111" ht="13.5" customHeight="1">
      <c r="A111" s="328" t="s">
        <v>208</v>
      </c>
      <c r="B111" s="362">
        <v>1</v>
      </c>
      <c r="C111" s="364">
        <f t="shared" si="38"/>
        <v>4379.3299999999999</v>
      </c>
      <c r="D111" s="364"/>
      <c r="E111" s="364">
        <f t="shared" si="35"/>
        <v>4379.3299999999999</v>
      </c>
      <c r="F111" s="365" t="str">
        <f t="shared" si="36"/>
        <v>-&gt;</v>
      </c>
      <c r="G111" s="366">
        <f t="shared" si="37"/>
        <v>4707.7797499999997</v>
      </c>
    </row>
    <row r="112" ht="13.5" customHeight="1">
      <c r="A112" s="328" t="s">
        <v>209</v>
      </c>
      <c r="B112" s="362">
        <v>1</v>
      </c>
      <c r="C112" s="364">
        <f>G102</f>
        <v>5971.2299999999996</v>
      </c>
      <c r="D112" s="364"/>
      <c r="E112" s="364">
        <f t="shared" si="35"/>
        <v>5971.2299999999996</v>
      </c>
      <c r="F112" s="365" t="str">
        <f t="shared" si="36"/>
        <v>-&gt;</v>
      </c>
      <c r="G112" s="366">
        <f t="shared" si="37"/>
        <v>6419.0722499999993</v>
      </c>
    </row>
    <row r="113" ht="18">
      <c r="A113" s="367" t="s">
        <v>210</v>
      </c>
      <c r="B113" s="368"/>
      <c r="C113" s="368"/>
      <c r="D113" s="368"/>
      <c r="E113" s="369">
        <f>SUM(E106:E112)</f>
        <v>64120.699999999997</v>
      </c>
      <c r="F113" s="370" t="str">
        <f t="shared" si="36"/>
        <v>-&gt;</v>
      </c>
      <c r="G113" s="371">
        <f>SUM(G106:G112)</f>
        <v>68929.752500000002</v>
      </c>
    </row>
    <row r="114" ht="13.5" customHeight="1">
      <c r="G114" s="372"/>
    </row>
  </sheetData>
  <mergeCells count="16">
    <mergeCell ref="A1:G1"/>
    <mergeCell ref="A3:G3"/>
    <mergeCell ref="A23:G23"/>
    <mergeCell ref="A43:G43"/>
    <mergeCell ref="A63:G63"/>
    <mergeCell ref="A83:G83"/>
    <mergeCell ref="A104:G104"/>
    <mergeCell ref="C105:D105"/>
    <mergeCell ref="C106:D106"/>
    <mergeCell ref="C107:D107"/>
    <mergeCell ref="A113:D113"/>
    <mergeCell ref="C108:D108"/>
    <mergeCell ref="C109:D109"/>
    <mergeCell ref="C110:D110"/>
    <mergeCell ref="C111:D111"/>
    <mergeCell ref="C112:D112"/>
  </mergeCells>
  <printOptions headings="0" gridLines="0" horizontalCentered="1"/>
  <pageMargins left="0.59027777777777801" right="0.59027777777777801" top="1.1812499999999999" bottom="0.78750000000000009" header="0.31527777777777799" footer="0.51181102362204689"/>
  <pageSetup paperSize="9" scale="100" fitToWidth="1" fitToHeight="0" pageOrder="downThenOver" orientation="portrait" usePrinterDefaults="1" blackAndWhite="0" draft="0" cellComments="none" useFirstPageNumber="0" errors="displayed" horizontalDpi="300" verticalDpi="300" copies="1"/>
  <headerFooter>
    <oddHeader>&amp;RPágina&amp;P - &amp;A</oddHeader>
  </headerFooter>
  <rowBreaks count="2" manualBreakCount="2">
    <brk id="61" man="1" max="16383"/>
    <brk id="113" man="1" max="16383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ED973"/>
    <outlinePr applyStyles="0" summaryBelow="1" summaryRight="1" showOutlineSymbols="1"/>
    <pageSetUpPr autoPageBreaks="1" fitToPage="1"/>
  </sheetPr>
  <sheetViews>
    <sheetView showGridLines="0" topLeftCell="A28" zoomScale="100" workbookViewId="0">
      <selection activeCell="F13" activeCellId="0" sqref="F13"/>
    </sheetView>
  </sheetViews>
  <sheetFormatPr defaultColWidth="8.75" defaultRowHeight="14.25"/>
  <cols>
    <col customWidth="1" min="1" max="1" width="71.125"/>
    <col customWidth="1" min="2" max="2" width="6.625"/>
    <col customWidth="1" min="3" max="3" width="10.875"/>
  </cols>
  <sheetData>
    <row r="1" ht="24" customHeight="1">
      <c r="A1" s="373" t="s">
        <v>211</v>
      </c>
      <c r="B1" s="373"/>
      <c r="C1" s="373"/>
    </row>
    <row r="2" ht="15" customHeight="1">
      <c r="A2" s="374"/>
      <c r="B2" s="374"/>
    </row>
    <row r="3" ht="15.75">
      <c r="A3" s="375" t="s">
        <v>212</v>
      </c>
      <c r="B3" s="376"/>
      <c r="C3" s="377"/>
    </row>
    <row r="4">
      <c r="A4" s="378" t="s">
        <v>213</v>
      </c>
      <c r="B4" s="378"/>
      <c r="C4" s="379">
        <v>0.20000000000000001</v>
      </c>
    </row>
    <row r="5">
      <c r="A5" s="378" t="s">
        <v>214</v>
      </c>
      <c r="B5" s="378"/>
      <c r="C5" s="379">
        <v>8.0000000000000002e-002</v>
      </c>
    </row>
    <row r="6">
      <c r="A6" s="378" t="s">
        <v>215</v>
      </c>
      <c r="B6" s="378"/>
      <c r="C6" s="379">
        <v>1.e-002</v>
      </c>
    </row>
    <row r="7">
      <c r="A7" s="378" t="s">
        <v>216</v>
      </c>
      <c r="B7" s="378"/>
      <c r="C7" s="379">
        <v>1.4999999999999999e-002</v>
      </c>
    </row>
    <row r="8">
      <c r="A8" s="378" t="s">
        <v>217</v>
      </c>
      <c r="B8" s="378"/>
      <c r="C8" s="379">
        <v>2.e-003</v>
      </c>
    </row>
    <row r="9">
      <c r="A9" s="378" t="s">
        <v>218</v>
      </c>
      <c r="B9" s="378"/>
      <c r="C9" s="379">
        <v>2.5000000000000001e-002</v>
      </c>
    </row>
    <row r="10">
      <c r="A10" s="378" t="s">
        <v>219</v>
      </c>
      <c r="B10" s="378"/>
      <c r="C10" s="379">
        <v>2.9999999999999999e-002</v>
      </c>
    </row>
    <row r="11">
      <c r="A11" s="378" t="s">
        <v>220</v>
      </c>
      <c r="B11" s="378"/>
      <c r="C11" s="379"/>
    </row>
    <row r="12">
      <c r="A12" s="378" t="s">
        <v>221</v>
      </c>
      <c r="B12" s="378"/>
      <c r="C12" s="379">
        <v>6.0000000000000001e-003</v>
      </c>
    </row>
    <row r="13">
      <c r="A13" s="378" t="s">
        <v>222</v>
      </c>
      <c r="B13" s="378"/>
      <c r="C13" s="379">
        <v>0</v>
      </c>
    </row>
    <row r="14">
      <c r="A14" s="378" t="s">
        <v>223</v>
      </c>
      <c r="B14" s="378"/>
      <c r="C14" s="379">
        <v>0</v>
      </c>
    </row>
    <row r="15" ht="15.75">
      <c r="A15" s="380" t="s">
        <v>224</v>
      </c>
      <c r="B15" s="380"/>
      <c r="C15" s="381">
        <f>ROUND(SUM(C4:C14),4)</f>
        <v>0.36799999999999999</v>
      </c>
    </row>
    <row r="16" ht="15.75">
      <c r="A16" s="382"/>
      <c r="B16" s="382"/>
      <c r="C16" s="383"/>
    </row>
    <row r="17" ht="15.75">
      <c r="A17" s="375" t="s">
        <v>225</v>
      </c>
      <c r="B17" s="376"/>
      <c r="C17" s="377"/>
    </row>
    <row r="18">
      <c r="A18" s="378" t="s">
        <v>226</v>
      </c>
      <c r="B18" s="378"/>
      <c r="C18" s="379">
        <f>(1/12*(1+1/3))*12/11</f>
        <v>0.1212121212121212</v>
      </c>
    </row>
    <row r="19">
      <c r="A19" s="378" t="s">
        <v>227</v>
      </c>
      <c r="B19" s="378"/>
      <c r="C19" s="379">
        <f>8.33%*12/11</f>
        <v>9.0872727272727272e-002</v>
      </c>
    </row>
    <row r="20">
      <c r="A20" s="378" t="s">
        <v>228</v>
      </c>
      <c r="B20" s="378"/>
      <c r="C20" s="379">
        <v>2.9999999999999997e-004</v>
      </c>
    </row>
    <row r="21">
      <c r="A21" s="378" t="s">
        <v>229</v>
      </c>
      <c r="B21" s="378"/>
      <c r="C21" s="379">
        <v>1.3899999999999999e-002</v>
      </c>
    </row>
    <row r="22">
      <c r="A22" s="378" t="s">
        <v>230</v>
      </c>
      <c r="B22" s="378"/>
      <c r="C22" s="379">
        <v>2.8e-003</v>
      </c>
    </row>
    <row r="23">
      <c r="A23" s="378" t="s">
        <v>231</v>
      </c>
      <c r="B23" s="378"/>
      <c r="C23" s="379">
        <f>7/30/12</f>
        <v>1.9444444444444445e-002</v>
      </c>
    </row>
    <row r="24">
      <c r="A24" s="378" t="s">
        <v>232</v>
      </c>
      <c r="B24" s="378"/>
      <c r="C24" s="379">
        <v>2.0000000000000001e-004</v>
      </c>
    </row>
    <row r="25">
      <c r="A25" s="378" t="s">
        <v>233</v>
      </c>
      <c r="B25" s="378"/>
      <c r="C25" s="379">
        <v>2.0000000000000001e-004</v>
      </c>
    </row>
    <row r="26" ht="15.75">
      <c r="A26" s="380" t="s">
        <v>234</v>
      </c>
      <c r="B26" s="380"/>
      <c r="C26" s="381">
        <f>SUM(C18:C25)</f>
        <v>0.24892929292929294</v>
      </c>
    </row>
    <row r="27" ht="15.75">
      <c r="A27" s="382"/>
      <c r="B27" s="382"/>
      <c r="C27" s="383"/>
    </row>
    <row r="28" ht="15.75">
      <c r="A28" s="375" t="s">
        <v>235</v>
      </c>
      <c r="B28" s="376"/>
      <c r="C28" s="384"/>
    </row>
    <row r="29">
      <c r="A29" s="378" t="s">
        <v>236</v>
      </c>
      <c r="B29" s="378"/>
      <c r="C29" s="379">
        <f>0.4*0.08</f>
        <v>3.2000000000000001e-002</v>
      </c>
    </row>
    <row r="30">
      <c r="A30" s="378" t="s">
        <v>237</v>
      </c>
      <c r="B30" s="378"/>
      <c r="C30" s="379">
        <f>0.05*0.4*0.08</f>
        <v>1.6000000000000003e-003</v>
      </c>
    </row>
    <row r="31">
      <c r="A31" s="378" t="s">
        <v>238</v>
      </c>
      <c r="B31" s="378"/>
      <c r="C31" s="379">
        <v>8.0000000000000004e-004</v>
      </c>
    </row>
    <row r="32">
      <c r="A32" s="378" t="s">
        <v>239</v>
      </c>
      <c r="B32" s="378"/>
      <c r="C32" s="379">
        <f>12/365</f>
        <v>3.287671232876712e-002</v>
      </c>
    </row>
    <row r="33" ht="15.75">
      <c r="A33" s="380" t="s">
        <v>240</v>
      </c>
      <c r="B33" s="380"/>
      <c r="C33" s="381">
        <f>SUM(C29:C32)</f>
        <v>6.7276712328767113e-002</v>
      </c>
    </row>
    <row r="34" ht="15.75">
      <c r="A34" s="382"/>
      <c r="B34" s="382"/>
      <c r="C34" s="385"/>
    </row>
    <row r="35" ht="15.75">
      <c r="A35" s="386" t="s">
        <v>241</v>
      </c>
      <c r="B35" s="386"/>
      <c r="C35" s="384"/>
    </row>
    <row r="36">
      <c r="A36" s="378" t="s">
        <v>242</v>
      </c>
      <c r="B36" s="378"/>
      <c r="C36" s="379">
        <f>C15*C26</f>
        <v>9.1605979797979797e-002</v>
      </c>
    </row>
    <row r="37" ht="15.75">
      <c r="A37" s="380" t="s">
        <v>243</v>
      </c>
      <c r="B37" s="380"/>
      <c r="C37" s="381">
        <f>ROUND(C36,4)</f>
        <v>9.1600000000000001e-002</v>
      </c>
    </row>
    <row r="38">
      <c r="A38" s="387"/>
      <c r="B38" s="387"/>
      <c r="C38" s="388"/>
    </row>
    <row r="39" ht="15.75">
      <c r="A39" s="389" t="s">
        <v>244</v>
      </c>
      <c r="B39" s="389"/>
      <c r="C39" s="389"/>
    </row>
    <row r="40">
      <c r="A40" s="378" t="s">
        <v>245</v>
      </c>
      <c r="B40" s="378"/>
      <c r="C40" s="379">
        <v>0</v>
      </c>
    </row>
    <row r="41" ht="15.75">
      <c r="A41" s="390" t="s">
        <v>246</v>
      </c>
      <c r="B41" s="390"/>
      <c r="C41" s="381">
        <f>ROUND(C40,4)</f>
        <v>0</v>
      </c>
    </row>
    <row r="42">
      <c r="A42" s="387"/>
      <c r="B42" s="387"/>
      <c r="C42" s="388"/>
    </row>
    <row r="43" ht="15.75">
      <c r="A43" s="391" t="s">
        <v>247</v>
      </c>
      <c r="B43" s="392"/>
      <c r="C43" s="393">
        <f>ROUND(C15+C26+C33+C37+C41,4)</f>
        <v>0.77580000000000005</v>
      </c>
    </row>
    <row r="44" ht="15">
      <c r="A44" s="394" t="s">
        <v>248</v>
      </c>
      <c r="B44" s="395"/>
      <c r="C44" s="396"/>
    </row>
    <row r="45" ht="15">
      <c r="A45" s="397"/>
      <c r="B45" s="397"/>
      <c r="C45" s="385"/>
    </row>
    <row r="46" ht="15">
      <c r="B46" s="397"/>
      <c r="C46" s="385"/>
    </row>
    <row r="47" ht="15">
      <c r="B47" s="385"/>
      <c r="C47" s="385"/>
    </row>
    <row r="48" ht="15">
      <c r="B48" s="385"/>
      <c r="C48" s="385"/>
    </row>
    <row r="49" ht="15">
      <c r="B49" s="385"/>
      <c r="C49" s="385"/>
    </row>
  </sheetData>
  <mergeCells count="33">
    <mergeCell ref="A1:C1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9:B29"/>
    <mergeCell ref="A30:B30"/>
    <mergeCell ref="A31:B31"/>
    <mergeCell ref="A39:C39"/>
    <mergeCell ref="A40:B40"/>
    <mergeCell ref="A41:B41"/>
    <mergeCell ref="A32:B32"/>
    <mergeCell ref="A33:B33"/>
    <mergeCell ref="A35:B35"/>
    <mergeCell ref="A36:B36"/>
    <mergeCell ref="A37:B37"/>
  </mergeCells>
  <printOptions headings="0" gridLines="0" horizontalCentered="1"/>
  <pageMargins left="0.39375000000000004" right="0.39375000000000004" top="1.1812499999999999" bottom="0.78750000000000009" header="0.31527777777777799" footer="0.51181102362204689"/>
  <pageSetup paperSize="9" scale="100" fitToWidth="0" fitToHeight="1" pageOrder="downThenOver" orientation="portrait" usePrinterDefaults="1" blackAndWhite="0" draft="0" cellComments="none" useFirstPageNumber="0" errors="displayed" horizontalDpi="300" verticalDpi="300" copies="1"/>
  <headerFooter>
    <oddHeader>&amp;RPágina &amp;P - 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8ED973"/>
    <outlinePr applyStyles="0" summaryBelow="1" summaryRight="1" showOutlineSymbols="1"/>
    <pageSetUpPr autoPageBreaks="1" fitToPage="1"/>
  </sheetPr>
  <sheetViews>
    <sheetView showGridLines="0" zoomScale="100" workbookViewId="0">
      <selection activeCell="F29" activeCellId="0" sqref="F29"/>
    </sheetView>
  </sheetViews>
  <sheetFormatPr defaultColWidth="9.125" defaultRowHeight="14.25"/>
  <cols>
    <col customWidth="1" min="1" max="1" style="58" width="10.875"/>
    <col min="2" max="4" style="58" width="9.125"/>
    <col customWidth="1" min="5" max="5" style="58" width="12.625"/>
    <col min="6" max="8" style="58" width="9.125"/>
    <col customWidth="1" min="9" max="9" style="58" width="10.375"/>
    <col min="10" max="11" style="58" width="9.125"/>
    <col customWidth="1" min="12" max="12" style="58" width="14"/>
    <col min="13" max="16384" style="58" width="9.125"/>
  </cols>
  <sheetData>
    <row r="1" ht="24" customHeight="1">
      <c r="A1" s="398" t="s">
        <v>249</v>
      </c>
      <c r="B1" s="399"/>
      <c r="C1" s="399"/>
      <c r="D1" s="399"/>
      <c r="E1" s="399"/>
      <c r="F1" s="399"/>
      <c r="G1" s="399"/>
      <c r="H1" s="399"/>
      <c r="I1" s="400"/>
    </row>
    <row r="2" ht="7.5" customHeight="1">
      <c r="A2" s="401"/>
      <c r="B2" s="402"/>
      <c r="C2" s="402"/>
      <c r="D2" s="402"/>
      <c r="E2" s="402"/>
      <c r="F2" s="402"/>
      <c r="G2" s="402"/>
      <c r="H2" s="403"/>
      <c r="I2" s="404"/>
    </row>
    <row r="3">
      <c r="A3" s="405" t="s">
        <v>250</v>
      </c>
      <c r="B3" s="406"/>
      <c r="C3" s="406"/>
      <c r="D3" s="406"/>
      <c r="E3" s="406"/>
      <c r="F3" s="406"/>
      <c r="G3" s="406"/>
      <c r="H3" s="406"/>
      <c r="I3" s="407"/>
    </row>
    <row r="4">
      <c r="A4" s="408" t="s">
        <v>251</v>
      </c>
      <c r="B4" s="409"/>
      <c r="C4" s="409"/>
      <c r="D4" s="409"/>
      <c r="E4" s="409" t="s">
        <v>252</v>
      </c>
      <c r="F4" s="409" t="s">
        <v>253</v>
      </c>
      <c r="G4" s="409"/>
      <c r="H4" s="409" t="s">
        <v>254</v>
      </c>
      <c r="I4" s="410"/>
    </row>
    <row r="5">
      <c r="A5" s="411" t="s">
        <v>255</v>
      </c>
      <c r="B5" s="412"/>
      <c r="C5" s="412"/>
      <c r="D5" s="412"/>
      <c r="E5" s="413">
        <v>4</v>
      </c>
      <c r="F5" s="413">
        <v>65</v>
      </c>
      <c r="G5" s="413"/>
      <c r="H5" s="414">
        <f t="shared" ref="H5:H10" si="39">ROUND(E5*F5,2)</f>
        <v>260</v>
      </c>
      <c r="I5" s="415"/>
    </row>
    <row r="6">
      <c r="A6" s="411" t="s">
        <v>256</v>
      </c>
      <c r="B6" s="412"/>
      <c r="C6" s="412"/>
      <c r="D6" s="412"/>
      <c r="E6" s="413">
        <v>4</v>
      </c>
      <c r="F6" s="413">
        <v>55</v>
      </c>
      <c r="G6" s="413"/>
      <c r="H6" s="414">
        <f t="shared" si="39"/>
        <v>220</v>
      </c>
      <c r="I6" s="415"/>
    </row>
    <row r="7">
      <c r="A7" s="411" t="s">
        <v>257</v>
      </c>
      <c r="B7" s="412"/>
      <c r="C7" s="412"/>
      <c r="D7" s="412"/>
      <c r="E7" s="413">
        <f>1*8</f>
        <v>8</v>
      </c>
      <c r="F7" s="413">
        <v>15</v>
      </c>
      <c r="G7" s="413"/>
      <c r="H7" s="414">
        <f t="shared" si="39"/>
        <v>120</v>
      </c>
      <c r="I7" s="415"/>
    </row>
    <row r="8">
      <c r="A8" s="411" t="s">
        <v>258</v>
      </c>
      <c r="B8" s="412"/>
      <c r="C8" s="412"/>
      <c r="D8" s="412"/>
      <c r="E8" s="413">
        <v>2</v>
      </c>
      <c r="F8" s="413">
        <v>65</v>
      </c>
      <c r="G8" s="413"/>
      <c r="H8" s="414">
        <f t="shared" si="39"/>
        <v>130</v>
      </c>
      <c r="I8" s="415"/>
    </row>
    <row r="9">
      <c r="A9" s="411" t="s">
        <v>259</v>
      </c>
      <c r="B9" s="412"/>
      <c r="C9" s="412"/>
      <c r="D9" s="412"/>
      <c r="E9" s="416">
        <v>4</v>
      </c>
      <c r="F9" s="413">
        <v>25</v>
      </c>
      <c r="G9" s="413"/>
      <c r="H9" s="414">
        <f t="shared" si="39"/>
        <v>100</v>
      </c>
      <c r="I9" s="415"/>
    </row>
    <row r="10">
      <c r="A10" s="417" t="s">
        <v>260</v>
      </c>
      <c r="B10" s="418"/>
      <c r="C10" s="418"/>
      <c r="D10" s="418"/>
      <c r="E10" s="419">
        <v>6</v>
      </c>
      <c r="F10" s="413">
        <v>15</v>
      </c>
      <c r="G10" s="413"/>
      <c r="H10" s="414">
        <f t="shared" si="39"/>
        <v>90</v>
      </c>
      <c r="I10" s="415"/>
    </row>
    <row r="11">
      <c r="A11" s="420" t="s">
        <v>261</v>
      </c>
      <c r="B11" s="421"/>
      <c r="C11" s="421"/>
      <c r="D11" s="421"/>
      <c r="E11" s="422"/>
      <c r="F11" s="422"/>
      <c r="G11" s="423"/>
      <c r="H11" s="414">
        <f>SUM(H5:I10)</f>
        <v>920</v>
      </c>
      <c r="I11" s="415"/>
    </row>
    <row r="12">
      <c r="A12" s="424" t="s">
        <v>201</v>
      </c>
      <c r="B12" s="425"/>
      <c r="C12" s="425"/>
      <c r="D12" s="425"/>
      <c r="E12" s="426"/>
      <c r="F12" s="426"/>
      <c r="G12" s="427"/>
      <c r="H12" s="428">
        <f>ROUND(H11/12,2)</f>
        <v>76.670000000000002</v>
      </c>
      <c r="I12" s="429"/>
    </row>
    <row r="13">
      <c r="A13" s="430"/>
      <c r="B13" s="431"/>
      <c r="C13" s="431"/>
      <c r="D13" s="431"/>
      <c r="E13" s="431"/>
      <c r="F13" s="431"/>
      <c r="G13" s="431"/>
      <c r="H13" s="431"/>
      <c r="I13" s="432"/>
    </row>
    <row r="14">
      <c r="A14" s="405" t="s">
        <v>262</v>
      </c>
      <c r="B14" s="406"/>
      <c r="C14" s="406"/>
      <c r="D14" s="406"/>
      <c r="E14" s="406"/>
      <c r="F14" s="406"/>
      <c r="G14" s="406"/>
      <c r="H14" s="406"/>
      <c r="I14" s="407"/>
    </row>
    <row r="15">
      <c r="A15" s="433" t="s">
        <v>251</v>
      </c>
      <c r="B15" s="414"/>
      <c r="C15" s="414"/>
      <c r="D15" s="414"/>
      <c r="E15" s="414" t="s">
        <v>252</v>
      </c>
      <c r="F15" s="414" t="s">
        <v>253</v>
      </c>
      <c r="G15" s="414"/>
      <c r="H15" s="414" t="s">
        <v>254</v>
      </c>
      <c r="I15" s="415"/>
    </row>
    <row r="16">
      <c r="A16" s="411" t="s">
        <v>263</v>
      </c>
      <c r="B16" s="412"/>
      <c r="C16" s="412"/>
      <c r="D16" s="412"/>
      <c r="E16" s="413">
        <v>8</v>
      </c>
      <c r="F16" s="413">
        <v>65</v>
      </c>
      <c r="G16" s="413"/>
      <c r="H16" s="414">
        <f t="shared" ref="H16:H22" si="40">ROUND(E16*F16,2)</f>
        <v>520</v>
      </c>
      <c r="I16" s="415"/>
    </row>
    <row r="17">
      <c r="A17" s="411" t="s">
        <v>256</v>
      </c>
      <c r="B17" s="412"/>
      <c r="C17" s="412"/>
      <c r="D17" s="412"/>
      <c r="E17" s="413">
        <v>8</v>
      </c>
      <c r="F17" s="413">
        <v>55</v>
      </c>
      <c r="G17" s="413"/>
      <c r="H17" s="414">
        <f t="shared" si="40"/>
        <v>440</v>
      </c>
      <c r="I17" s="415"/>
    </row>
    <row r="18">
      <c r="A18" s="411" t="s">
        <v>257</v>
      </c>
      <c r="B18" s="412"/>
      <c r="C18" s="412"/>
      <c r="D18" s="412"/>
      <c r="E18" s="413">
        <v>8</v>
      </c>
      <c r="F18" s="413">
        <v>15</v>
      </c>
      <c r="G18" s="413"/>
      <c r="H18" s="414">
        <f t="shared" si="40"/>
        <v>120</v>
      </c>
      <c r="I18" s="415"/>
    </row>
    <row r="19">
      <c r="A19" s="411" t="s">
        <v>258</v>
      </c>
      <c r="B19" s="412"/>
      <c r="C19" s="412"/>
      <c r="D19" s="412"/>
      <c r="E19" s="413">
        <v>8</v>
      </c>
      <c r="F19" s="413">
        <v>65</v>
      </c>
      <c r="G19" s="413"/>
      <c r="H19" s="414">
        <f t="shared" si="40"/>
        <v>520</v>
      </c>
      <c r="I19" s="415"/>
    </row>
    <row r="20">
      <c r="A20" s="411" t="s">
        <v>264</v>
      </c>
      <c r="B20" s="412"/>
      <c r="C20" s="412"/>
      <c r="D20" s="412"/>
      <c r="E20" s="413">
        <f>1*8</f>
        <v>8</v>
      </c>
      <c r="F20" s="413">
        <v>25</v>
      </c>
      <c r="G20" s="413"/>
      <c r="H20" s="414">
        <f t="shared" si="40"/>
        <v>200</v>
      </c>
      <c r="I20" s="415"/>
    </row>
    <row r="21">
      <c r="A21" s="411" t="s">
        <v>265</v>
      </c>
      <c r="B21" s="412"/>
      <c r="C21" s="412"/>
      <c r="D21" s="412"/>
      <c r="E21" s="413">
        <v>60</v>
      </c>
      <c r="F21" s="413">
        <v>11</v>
      </c>
      <c r="G21" s="413"/>
      <c r="H21" s="414">
        <f t="shared" si="40"/>
        <v>660</v>
      </c>
      <c r="I21" s="415"/>
    </row>
    <row r="22">
      <c r="A22" s="417" t="s">
        <v>266</v>
      </c>
      <c r="B22" s="418"/>
      <c r="C22" s="418"/>
      <c r="D22" s="418"/>
      <c r="E22" s="419">
        <v>6</v>
      </c>
      <c r="F22" s="413">
        <v>15</v>
      </c>
      <c r="G22" s="413"/>
      <c r="H22" s="414">
        <f t="shared" si="40"/>
        <v>90</v>
      </c>
      <c r="I22" s="415"/>
    </row>
    <row r="23">
      <c r="A23" s="411" t="s">
        <v>261</v>
      </c>
      <c r="B23" s="412"/>
      <c r="C23" s="412"/>
      <c r="D23" s="412"/>
      <c r="E23" s="412"/>
      <c r="F23" s="412"/>
      <c r="G23" s="412"/>
      <c r="H23" s="414">
        <f>SUM(H16:I22)</f>
        <v>2550</v>
      </c>
      <c r="I23" s="415"/>
    </row>
    <row r="24">
      <c r="A24" s="434" t="s">
        <v>201</v>
      </c>
      <c r="B24" s="435"/>
      <c r="C24" s="435"/>
      <c r="D24" s="435"/>
      <c r="E24" s="435"/>
      <c r="F24" s="435"/>
      <c r="G24" s="435"/>
      <c r="H24" s="436">
        <f>ROUND(H23/12,2)</f>
        <v>212.5</v>
      </c>
      <c r="I24" s="437"/>
    </row>
    <row r="25">
      <c r="A25" s="438"/>
      <c r="B25" s="438"/>
      <c r="C25" s="438"/>
      <c r="D25" s="438"/>
      <c r="E25" s="438"/>
      <c r="F25" s="438"/>
      <c r="G25" s="438"/>
      <c r="H25" s="438"/>
      <c r="I25" s="438"/>
    </row>
  </sheetData>
  <mergeCells count="56">
    <mergeCell ref="A1:I1"/>
    <mergeCell ref="A3:I3"/>
    <mergeCell ref="A4:D4"/>
    <mergeCell ref="F4:G4"/>
    <mergeCell ref="H4:I4"/>
    <mergeCell ref="A5:D5"/>
    <mergeCell ref="F5:G5"/>
    <mergeCell ref="H5:I5"/>
    <mergeCell ref="A6:D6"/>
    <mergeCell ref="F6:G6"/>
    <mergeCell ref="H6:I6"/>
    <mergeCell ref="A7:D7"/>
    <mergeCell ref="F7:G7"/>
    <mergeCell ref="H7:I7"/>
    <mergeCell ref="A8:D8"/>
    <mergeCell ref="F8:G8"/>
    <mergeCell ref="H8:I8"/>
    <mergeCell ref="A9:D9"/>
    <mergeCell ref="F9:G9"/>
    <mergeCell ref="H9:I9"/>
    <mergeCell ref="A10:D10"/>
    <mergeCell ref="F10:G10"/>
    <mergeCell ref="H10:I10"/>
    <mergeCell ref="A11:D11"/>
    <mergeCell ref="H11:I11"/>
    <mergeCell ref="A12:D12"/>
    <mergeCell ref="H12:I12"/>
    <mergeCell ref="A14:I14"/>
    <mergeCell ref="A15:D15"/>
    <mergeCell ref="F15:G15"/>
    <mergeCell ref="H15:I15"/>
    <mergeCell ref="A16:D16"/>
    <mergeCell ref="F16:G16"/>
    <mergeCell ref="H16:I16"/>
    <mergeCell ref="A17:D17"/>
    <mergeCell ref="F17:G17"/>
    <mergeCell ref="H17:I17"/>
    <mergeCell ref="A18:D18"/>
    <mergeCell ref="F18:G18"/>
    <mergeCell ref="H18:I18"/>
    <mergeCell ref="A19:D19"/>
    <mergeCell ref="F19:G19"/>
    <mergeCell ref="H19:I19"/>
    <mergeCell ref="A20:D20"/>
    <mergeCell ref="F20:G20"/>
    <mergeCell ref="H20:I20"/>
    <mergeCell ref="A23:G23"/>
    <mergeCell ref="H23:I23"/>
    <mergeCell ref="A24:G24"/>
    <mergeCell ref="H24:I24"/>
    <mergeCell ref="A21:D21"/>
    <mergeCell ref="F21:G21"/>
    <mergeCell ref="H21:I21"/>
    <mergeCell ref="A22:D22"/>
    <mergeCell ref="F22:G22"/>
    <mergeCell ref="H22:I22"/>
  </mergeCells>
  <printOptions headings="0" gridLines="0" horizontalCentered="1"/>
  <pageMargins left="0.39375000000000004" right="0.39375000000000004" top="1.1812499999999999" bottom="0.78750000000000009" header="0.31527777777777799" footer="0.51181102362204689"/>
  <pageSetup paperSize="9" scale="100" fitToWidth="1" fitToHeight="0" pageOrder="downThenOver" orientation="portrait" usePrinterDefaults="1" blackAndWhite="0" draft="0" cellComments="none" useFirstPageNumber="0" errors="displayed" horizontalDpi="300" verticalDpi="300" copies="1"/>
  <headerFooter>
    <oddHeader>&amp;RPágina &amp;P -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50"/>
    <outlinePr applyStyles="0" summaryBelow="1" summaryRight="1" showOutlineSymbols="1"/>
    <pageSetUpPr autoPageBreaks="1" fitToPage="1"/>
  </sheetPr>
  <sheetViews>
    <sheetView showGridLines="0" zoomScale="100" workbookViewId="0">
      <selection activeCell="H11" activeCellId="0" sqref="H11"/>
    </sheetView>
  </sheetViews>
  <sheetFormatPr defaultColWidth="8.75" defaultRowHeight="14.25"/>
  <cols>
    <col customWidth="1" min="1" max="3" width="11"/>
    <col customWidth="1" min="4" max="5" width="10.875"/>
    <col customWidth="1" min="6" max="6" style="98" width="12.5"/>
    <col customWidth="1" hidden="1" min="7" max="7" width="0"/>
  </cols>
  <sheetData>
    <row r="1" ht="18.75">
      <c r="A1" s="439" t="s">
        <v>267</v>
      </c>
      <c r="B1" s="440"/>
      <c r="C1" s="440"/>
      <c r="D1" s="440"/>
      <c r="E1" s="440"/>
      <c r="F1" s="441"/>
    </row>
    <row r="2" ht="15">
      <c r="A2" s="442"/>
      <c r="B2" s="385"/>
      <c r="C2" s="385"/>
      <c r="D2" s="385"/>
      <c r="E2" s="385"/>
      <c r="F2" s="443"/>
    </row>
    <row r="3" ht="15">
      <c r="A3" s="444" t="s">
        <v>268</v>
      </c>
      <c r="B3" s="445"/>
      <c r="C3" s="445"/>
      <c r="D3" s="445"/>
      <c r="E3" s="445"/>
      <c r="F3" s="446">
        <v>3.4299999999999997e-002</v>
      </c>
    </row>
    <row r="4" ht="15">
      <c r="A4" s="444" t="s">
        <v>269</v>
      </c>
      <c r="B4" s="445"/>
      <c r="C4" s="445"/>
      <c r="D4" s="445"/>
      <c r="E4" s="445"/>
      <c r="F4" s="446">
        <v>2.8e-003</v>
      </c>
    </row>
    <row r="5" ht="15">
      <c r="A5" s="444" t="s">
        <v>270</v>
      </c>
      <c r="B5" s="445"/>
      <c r="C5" s="445"/>
      <c r="D5" s="445"/>
      <c r="E5" s="445"/>
      <c r="F5" s="446">
        <v>1.e-002</v>
      </c>
    </row>
    <row r="6" ht="15">
      <c r="A6" s="444" t="s">
        <v>271</v>
      </c>
      <c r="B6" s="445"/>
      <c r="C6" s="445"/>
      <c r="D6" s="445"/>
      <c r="E6" s="445"/>
      <c r="F6" s="446">
        <v>9.4000000000000004e-003</v>
      </c>
    </row>
    <row r="7" ht="15">
      <c r="A7" s="444" t="s">
        <v>272</v>
      </c>
      <c r="B7" s="445"/>
      <c r="C7" s="445"/>
      <c r="D7" s="445"/>
      <c r="E7" s="445"/>
      <c r="F7" s="446">
        <v>6.7400000000000002e-002</v>
      </c>
      <c r="G7" s="447"/>
      <c r="I7" s="448"/>
    </row>
    <row r="8" ht="15">
      <c r="A8" s="444" t="s">
        <v>273</v>
      </c>
      <c r="B8" s="445"/>
      <c r="C8" s="445"/>
      <c r="D8" s="445"/>
      <c r="E8" s="445"/>
      <c r="F8" s="449"/>
      <c r="G8" s="450"/>
    </row>
    <row r="9" ht="15">
      <c r="A9" s="444" t="s">
        <v>274</v>
      </c>
      <c r="B9" s="445"/>
      <c r="C9" s="445"/>
      <c r="D9" s="445"/>
      <c r="E9" s="445"/>
      <c r="F9" s="446">
        <v>7.5999999999999998e-002</v>
      </c>
      <c r="G9" s="451"/>
    </row>
    <row r="10" ht="15">
      <c r="A10" s="444" t="s">
        <v>275</v>
      </c>
      <c r="B10" s="445"/>
      <c r="C10" s="445"/>
      <c r="D10" s="445"/>
      <c r="E10" s="445"/>
      <c r="F10" s="446">
        <v>1.6500000000000001e-002</v>
      </c>
      <c r="G10" s="451"/>
    </row>
    <row r="11" ht="15">
      <c r="A11" s="444" t="s">
        <v>276</v>
      </c>
      <c r="B11" s="445"/>
      <c r="C11" s="445"/>
      <c r="D11" s="445"/>
      <c r="E11" s="445"/>
      <c r="F11" s="446">
        <v>2.e-002</v>
      </c>
      <c r="G11" s="450"/>
    </row>
    <row r="12" ht="31.5" customHeight="1">
      <c r="A12" s="452" t="s">
        <v>277</v>
      </c>
      <c r="B12" s="453"/>
      <c r="C12" s="453"/>
      <c r="D12" s="453"/>
      <c r="E12" s="453"/>
      <c r="F12" s="454"/>
    </row>
    <row r="13">
      <c r="A13" s="452"/>
      <c r="B13" s="453"/>
      <c r="C13" s="453"/>
      <c r="D13" s="453"/>
      <c r="E13" s="453"/>
      <c r="F13" s="454"/>
    </row>
    <row r="14" ht="15">
      <c r="A14" s="455" t="s">
        <v>278</v>
      </c>
      <c r="B14" s="456"/>
      <c r="C14" s="456"/>
      <c r="D14" s="456"/>
      <c r="E14" s="456"/>
      <c r="F14" s="457"/>
    </row>
    <row r="15" ht="15">
      <c r="A15" s="458" t="s">
        <v>279</v>
      </c>
      <c r="B15" s="459"/>
      <c r="C15" s="459"/>
      <c r="D15" s="459"/>
      <c r="E15" s="459"/>
      <c r="F15" s="460">
        <f>1+F3+F4+F5</f>
        <v>1.0470999999999999</v>
      </c>
      <c r="G15" s="461">
        <f t="shared" ref="G15:G17" si="41">F15-1</f>
        <v>4.709999999999992e-002</v>
      </c>
    </row>
    <row r="16" ht="15">
      <c r="A16" s="458" t="s">
        <v>280</v>
      </c>
      <c r="B16" s="459"/>
      <c r="C16" s="459"/>
      <c r="D16" s="459"/>
      <c r="E16" s="459"/>
      <c r="F16" s="460">
        <f t="shared" ref="F16:F17" si="42">1+F6</f>
        <v>1.0094000000000001</v>
      </c>
      <c r="G16" s="461">
        <f t="shared" si="41"/>
        <v>9.400000000000075e-003</v>
      </c>
    </row>
    <row r="17" ht="15">
      <c r="A17" s="458" t="s">
        <v>281</v>
      </c>
      <c r="B17" s="459"/>
      <c r="C17" s="459"/>
      <c r="D17" s="459"/>
      <c r="E17" s="459"/>
      <c r="F17" s="460">
        <f t="shared" si="42"/>
        <v>1.0673999999999999</v>
      </c>
      <c r="G17" s="461">
        <f t="shared" si="41"/>
        <v>6.7399999999999904e-002</v>
      </c>
    </row>
    <row r="18" ht="15">
      <c r="A18" s="458" t="s">
        <v>282</v>
      </c>
      <c r="B18" s="459"/>
      <c r="C18" s="459"/>
      <c r="D18" s="459"/>
      <c r="E18" s="459"/>
      <c r="F18" s="460">
        <f>1-F9-F10-F11</f>
        <v>0.88750000000000007</v>
      </c>
      <c r="G18" s="462">
        <f>1/F18-1</f>
        <v>0.12676056338028152</v>
      </c>
    </row>
    <row r="19" ht="15">
      <c r="A19" s="442"/>
      <c r="B19" s="463"/>
      <c r="C19" s="385"/>
      <c r="D19" s="385"/>
      <c r="E19" s="385"/>
      <c r="F19" s="464"/>
    </row>
    <row r="20" ht="15" customHeight="1">
      <c r="A20" s="465" t="s">
        <v>283</v>
      </c>
      <c r="B20" s="466"/>
      <c r="C20" s="466"/>
      <c r="D20" s="467">
        <f>ROUND((F15*F16*F17/F18)-1,6)</f>
        <v>0.27118900000000001</v>
      </c>
      <c r="E20" s="467"/>
      <c r="F20" s="468"/>
    </row>
    <row r="21" ht="15.75" customHeight="1">
      <c r="A21" s="465"/>
      <c r="B21" s="466"/>
      <c r="C21" s="466"/>
      <c r="D21" s="467"/>
      <c r="E21" s="467"/>
      <c r="F21" s="468"/>
      <c r="G21" s="461">
        <f>(F15*F16/F18)-1</f>
        <v>0.19092139718309853</v>
      </c>
    </row>
    <row r="22" ht="15">
      <c r="A22" s="469" t="s">
        <v>284</v>
      </c>
      <c r="B22" s="470"/>
      <c r="C22" s="470"/>
      <c r="D22" s="470" t="s">
        <v>285</v>
      </c>
      <c r="E22" s="470" t="s">
        <v>286</v>
      </c>
      <c r="F22" s="471" t="s">
        <v>287</v>
      </c>
    </row>
    <row r="23" ht="15">
      <c r="A23" s="469"/>
      <c r="B23" s="470"/>
      <c r="C23" s="470"/>
      <c r="D23" s="472">
        <v>0.20760000000000001</v>
      </c>
      <c r="E23" s="472">
        <v>0.24179999999999999</v>
      </c>
      <c r="F23" s="473">
        <v>0.26440000000000002</v>
      </c>
    </row>
    <row r="24" ht="15">
      <c r="A24" s="442" t="s">
        <v>288</v>
      </c>
      <c r="B24" s="385"/>
      <c r="F24" s="464"/>
    </row>
    <row r="25" ht="15">
      <c r="A25" s="442"/>
      <c r="B25" s="385"/>
      <c r="F25" s="464"/>
    </row>
    <row r="26" ht="15" customHeight="1">
      <c r="A26" s="474" t="s">
        <v>289</v>
      </c>
      <c r="B26" s="475"/>
      <c r="C26" s="475"/>
      <c r="D26" s="475"/>
      <c r="E26" s="475"/>
      <c r="F26" s="476"/>
    </row>
    <row r="27" ht="15.75" customHeight="1">
      <c r="A27" s="477" t="s">
        <v>290</v>
      </c>
      <c r="B27" s="478"/>
      <c r="C27" s="478"/>
      <c r="D27" s="478"/>
      <c r="E27" s="478"/>
      <c r="F27" s="479"/>
    </row>
    <row r="28">
      <c r="A28" s="477"/>
      <c r="B28" s="478"/>
      <c r="C28" s="478"/>
      <c r="D28" s="478"/>
      <c r="E28" s="478"/>
      <c r="F28" s="479"/>
    </row>
    <row r="29">
      <c r="A29" s="477"/>
      <c r="B29" s="478"/>
      <c r="C29" s="478"/>
      <c r="D29" s="478"/>
      <c r="E29" s="478"/>
      <c r="F29" s="479"/>
    </row>
    <row r="30">
      <c r="A30" s="477"/>
      <c r="B30" s="478"/>
      <c r="C30" s="478"/>
      <c r="D30" s="478"/>
      <c r="E30" s="478"/>
      <c r="F30" s="479"/>
    </row>
    <row r="31">
      <c r="A31" s="477"/>
      <c r="B31" s="478"/>
      <c r="C31" s="478"/>
      <c r="D31" s="478"/>
      <c r="E31" s="478"/>
      <c r="F31" s="479"/>
    </row>
    <row r="32">
      <c r="A32" s="477"/>
      <c r="B32" s="478"/>
      <c r="C32" s="478"/>
      <c r="D32" s="478"/>
      <c r="E32" s="478"/>
      <c r="F32" s="479"/>
    </row>
    <row r="33">
      <c r="A33" s="480"/>
      <c r="F33" s="464"/>
    </row>
    <row r="34" ht="15">
      <c r="A34" s="481" t="s">
        <v>291</v>
      </c>
      <c r="F34" s="464"/>
    </row>
    <row r="35" ht="31.5" customHeight="1">
      <c r="A35" s="452" t="s">
        <v>292</v>
      </c>
      <c r="B35" s="482">
        <v>7.4999999999999997e-002</v>
      </c>
      <c r="C35" s="453"/>
      <c r="D35" s="453"/>
      <c r="E35" s="453"/>
      <c r="F35" s="454"/>
    </row>
    <row r="36" ht="31.5" customHeight="1">
      <c r="A36" s="483" t="s">
        <v>293</v>
      </c>
      <c r="B36" s="484">
        <v>0.13250000000000001</v>
      </c>
      <c r="C36" s="485"/>
      <c r="D36" s="485"/>
      <c r="E36" s="485"/>
      <c r="F36" s="486"/>
    </row>
  </sheetData>
  <mergeCells count="21">
    <mergeCell ref="A1:F1"/>
    <mergeCell ref="A3:E3"/>
    <mergeCell ref="A4:E4"/>
    <mergeCell ref="A5:E5"/>
    <mergeCell ref="A6:E6"/>
    <mergeCell ref="A7:E7"/>
    <mergeCell ref="A8:E8"/>
    <mergeCell ref="A9:E9"/>
    <mergeCell ref="A10:E10"/>
    <mergeCell ref="A11:E11"/>
    <mergeCell ref="A12:F12"/>
    <mergeCell ref="A14:F14"/>
    <mergeCell ref="A15:E15"/>
    <mergeCell ref="A16:E16"/>
    <mergeCell ref="A17:E17"/>
    <mergeCell ref="A27:F32"/>
    <mergeCell ref="A18:E18"/>
    <mergeCell ref="A20:C21"/>
    <mergeCell ref="D20:F21"/>
    <mergeCell ref="A22:C23"/>
    <mergeCell ref="A26:F26"/>
  </mergeCells>
  <printOptions headings="0" gridLines="0" horizontalCentered="1"/>
  <pageMargins left="0.39375000000000004" right="0.39375000000000004" top="1.1812499999999999" bottom="0.78750000000000009" header="0.31527777777777799" footer="0.51181102362204689"/>
  <pageSetup paperSize="9" scale="100" fitToWidth="1" fitToHeight="0" pageOrder="downThenOver" orientation="portrait" usePrinterDefaults="1" blackAndWhite="0" draft="0" cellComments="none" useFirstPageNumber="0" errors="displayed" horizontalDpi="300" verticalDpi="300" copies="1"/>
  <headerFooter>
    <oddHeader>&amp;RPágina &amp;P -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13501B"/>
    <outlinePr applyStyles="0" summaryBelow="1" summaryRight="1" showOutlineSymbols="1"/>
    <pageSetUpPr autoPageBreaks="1" fitToPage="1"/>
  </sheetPr>
  <sheetViews>
    <sheetView showGridLines="0" zoomScale="100" workbookViewId="0">
      <selection activeCell="B15" activeCellId="0" sqref="B15"/>
    </sheetView>
  </sheetViews>
  <sheetFormatPr defaultColWidth="9.125" defaultRowHeight="14.25"/>
  <cols>
    <col customWidth="1" min="1" max="1" style="58" width="5.5"/>
    <col customWidth="1" min="2" max="2" style="58" width="40.375"/>
    <col customWidth="1" min="3" max="3" style="362" width="11.5"/>
    <col customWidth="1" min="4" max="4" style="58" width="12.5"/>
    <col customWidth="1" min="5" max="5" style="58" width="16"/>
    <col customWidth="1" min="6" max="6" style="58" width="19.625"/>
    <col customWidth="1" min="7" max="7" style="58" width="20.125"/>
    <col min="8" max="8" style="58" width="9.125"/>
    <col customWidth="1" min="9" max="9" style="58" width="14.5"/>
    <col min="10" max="11" style="58" width="9.125"/>
    <col customWidth="1" min="12" max="12" style="58" width="14"/>
    <col min="13" max="16384" style="58" width="9.125"/>
  </cols>
  <sheetData>
    <row r="1" ht="21.75">
      <c r="A1" s="487" t="s">
        <v>294</v>
      </c>
      <c r="B1" s="488"/>
      <c r="C1" s="488"/>
      <c r="D1" s="488"/>
      <c r="E1" s="488"/>
      <c r="F1" s="488"/>
      <c r="G1" s="489"/>
    </row>
    <row r="2" ht="18.75">
      <c r="A2" s="490" t="s">
        <v>295</v>
      </c>
      <c r="B2" s="491"/>
      <c r="C2" s="491"/>
      <c r="D2" s="491"/>
      <c r="E2" s="491"/>
      <c r="F2" s="491"/>
      <c r="G2" s="492"/>
    </row>
    <row r="3" ht="10.5" customHeight="1">
      <c r="A3" s="493"/>
      <c r="B3" s="494"/>
      <c r="C3" s="494"/>
      <c r="D3" s="494"/>
      <c r="E3" s="494"/>
      <c r="F3" s="494"/>
      <c r="G3" s="495"/>
    </row>
    <row r="4" ht="15.75" customHeight="1">
      <c r="A4" s="496" t="s">
        <v>296</v>
      </c>
      <c r="B4" s="497"/>
      <c r="C4" s="497"/>
      <c r="D4" s="497"/>
      <c r="E4" s="497"/>
      <c r="F4" s="498" t="s">
        <v>297</v>
      </c>
      <c r="G4" s="499">
        <v>45658</v>
      </c>
    </row>
    <row r="5" ht="15">
      <c r="A5" s="500" t="s">
        <v>298</v>
      </c>
      <c r="B5" s="501"/>
      <c r="C5" s="501"/>
      <c r="D5" s="501"/>
      <c r="E5" s="501"/>
      <c r="F5" s="502" t="s">
        <v>299</v>
      </c>
      <c r="G5" s="503">
        <f>BDI!D20</f>
        <v>0.27118900000000001</v>
      </c>
    </row>
    <row r="6" ht="15.75" customHeight="1">
      <c r="A6" s="504"/>
      <c r="B6" s="505"/>
      <c r="C6" s="506"/>
      <c r="D6" s="506"/>
      <c r="E6" s="507"/>
      <c r="F6" s="508"/>
      <c r="G6" s="509"/>
    </row>
    <row r="7" ht="45">
      <c r="A7" s="510" t="s">
        <v>300</v>
      </c>
      <c r="B7" s="511" t="s">
        <v>301</v>
      </c>
      <c r="C7" s="511" t="s">
        <v>302</v>
      </c>
      <c r="D7" s="511" t="s">
        <v>303</v>
      </c>
      <c r="E7" s="512" t="s">
        <v>304</v>
      </c>
      <c r="F7" s="512" t="s">
        <v>305</v>
      </c>
      <c r="G7" s="513" t="s">
        <v>306</v>
      </c>
    </row>
    <row r="8" s="514" customFormat="1" ht="30">
      <c r="A8" s="515">
        <v>1</v>
      </c>
      <c r="B8" s="516" t="s">
        <v>307</v>
      </c>
      <c r="C8" s="517" t="s">
        <v>308</v>
      </c>
      <c r="D8" s="518">
        <v>1</v>
      </c>
      <c r="E8" s="519">
        <f>SUMPRODUCT(D9:D11,E9:E11)</f>
        <v>100757.07250000001</v>
      </c>
      <c r="F8" s="520">
        <f>ROUNDUP(D8*E8*(1+$G$5),2)</f>
        <v>128081.28999999999</v>
      </c>
      <c r="G8" s="521">
        <f t="shared" ref="G8:G9" si="43">F8*12</f>
        <v>1536975.48</v>
      </c>
      <c r="H8" s="522"/>
      <c r="I8" s="523"/>
    </row>
    <row r="9" ht="15">
      <c r="A9" s="524" t="s">
        <v>309</v>
      </c>
      <c r="B9" s="525" t="s">
        <v>310</v>
      </c>
      <c r="C9" s="526" t="s">
        <v>311</v>
      </c>
      <c r="D9" s="527">
        <v>4</v>
      </c>
      <c r="E9" s="528">
        <f>'CAMINHÃO CAÇAMBA BASC.'!G53/4</f>
        <v>7807.4300000000003</v>
      </c>
      <c r="F9" s="529">
        <f>D9*E9*(1+$G$5)</f>
        <v>39698.876537080003</v>
      </c>
      <c r="G9" s="530">
        <f t="shared" si="43"/>
        <v>476386.51844496001</v>
      </c>
      <c r="I9" s="523"/>
    </row>
    <row r="10" ht="15">
      <c r="A10" s="524" t="s">
        <v>312</v>
      </c>
      <c r="B10" s="525" t="s">
        <v>313</v>
      </c>
      <c r="C10" s="526" t="s">
        <v>311</v>
      </c>
      <c r="D10" s="527">
        <v>1</v>
      </c>
      <c r="E10" s="528">
        <f>'CAMINHÃO res.'!G47</f>
        <v>597.60000000000002</v>
      </c>
      <c r="F10" s="529">
        <f t="shared" ref="F10:F11" si="44">D10*E10*(1+$G$5)</f>
        <v>759.66254640000011</v>
      </c>
      <c r="G10" s="530">
        <f t="shared" ref="G10:G11" si="45">F10*12</f>
        <v>9115.9505568000022</v>
      </c>
      <c r="I10" s="523"/>
    </row>
    <row r="11" ht="15">
      <c r="A11" s="524" t="s">
        <v>314</v>
      </c>
      <c r="B11" s="525" t="s">
        <v>315</v>
      </c>
      <c r="C11" s="526" t="s">
        <v>316</v>
      </c>
      <c r="D11" s="527">
        <v>1</v>
      </c>
      <c r="E11" s="528">
        <f>'M.O. COLETA'!G113</f>
        <v>68929.752500000002</v>
      </c>
      <c r="F11" s="529">
        <f t="shared" si="44"/>
        <v>87622.743150722512</v>
      </c>
      <c r="G11" s="530">
        <f t="shared" si="45"/>
        <v>1051472.9178086701</v>
      </c>
      <c r="I11" s="523"/>
    </row>
    <row r="12" ht="19.5">
      <c r="A12" s="531" t="s">
        <v>317</v>
      </c>
      <c r="B12" s="532"/>
      <c r="C12" s="532"/>
      <c r="D12" s="532"/>
      <c r="E12" s="532"/>
      <c r="F12" s="533">
        <f>SUM(F8)</f>
        <v>128081.28999999999</v>
      </c>
      <c r="G12" s="534">
        <f>SUM(G8)</f>
        <v>1536975.48</v>
      </c>
      <c r="I12" s="535"/>
    </row>
    <row r="13" ht="15" hidden="1">
      <c r="B13" s="536"/>
      <c r="C13" s="536"/>
      <c r="D13" s="536"/>
      <c r="E13" s="536"/>
      <c r="F13" s="536"/>
      <c r="G13" s="537">
        <f>G12*5</f>
        <v>7684877.4000000004</v>
      </c>
    </row>
    <row r="14">
      <c r="F14" s="535"/>
      <c r="G14" s="535"/>
    </row>
    <row r="15">
      <c r="F15" s="535"/>
      <c r="G15" s="535"/>
    </row>
    <row r="16">
      <c r="F16" s="535"/>
    </row>
  </sheetData>
  <mergeCells count="4">
    <mergeCell ref="A1:G1"/>
    <mergeCell ref="A2:G2"/>
    <mergeCell ref="A3:G3"/>
    <mergeCell ref="A12:E12"/>
  </mergeCells>
  <printOptions headings="0" gridLines="0" horizontalCentered="1"/>
  <pageMargins left="0.59027777777777801" right="0.59027777777777801" top="1.1812499999999999" bottom="0.78750000000000009" header="0.31527777777777799" footer="0.51181102362204689"/>
  <pageSetup paperSize="9" scale="65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&amp;RPágina&amp;P -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ONLYOFFICE/8.3.3.21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Douglas Ribeiro</dc:creator>
  <dc:description/>
  <dc:language>pt-BR</dc:language>
  <cp:revision>10</cp:revision>
  <dcterms:created xsi:type="dcterms:W3CDTF">2025-01-25T22:41:42Z</dcterms:created>
  <dcterms:modified xsi:type="dcterms:W3CDTF">2025-04-29T11:18:19Z</dcterms:modified>
</cp:coreProperties>
</file>